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 yWindow="132" windowWidth="17556" windowHeight="9840" tabRatio="789" activeTab="0"/>
  </bookViews>
  <sheets>
    <sheet name="Goddard" sheetId="1" r:id="rId1"/>
    <sheet name="Goddard Food" sheetId="2" r:id="rId2"/>
    <sheet name="Sawmill Food" sheetId="3" r:id="rId3"/>
    <sheet name="Sawmill" sheetId="4" r:id="rId4"/>
    <sheet name="Food Master" sheetId="5" r:id="rId5"/>
    <sheet name="Master Weight List" sheetId="6" r:id="rId6"/>
    <sheet name="BarnardFood" sheetId="7" r:id="rId7"/>
    <sheet name="BarnardPack" sheetId="8" r:id="rId8"/>
    <sheet name="Barnard" sheetId="9" r:id="rId9"/>
    <sheet name="Kaweah" sheetId="10" r:id="rId10"/>
    <sheet name="Kaweah Food" sheetId="11" r:id="rId11"/>
    <sheet name="TomPack" sheetId="12" r:id="rId12"/>
    <sheet name="Tom Food" sheetId="13" r:id="rId13"/>
    <sheet name="Tom" sheetId="14" r:id="rId14"/>
    <sheet name="Koip Food" sheetId="15" r:id="rId15"/>
    <sheet name="SawmillFood" sheetId="16" r:id="rId16"/>
    <sheet name="Koip" sheetId="17" r:id="rId17"/>
    <sheet name="Car Master" sheetId="18" r:id="rId18"/>
    <sheet name="StanfordMorganPrintFood" sheetId="19" r:id="rId19"/>
    <sheet name="StanfordMorgan" sheetId="20" r:id="rId20"/>
    <sheet name="OnionValley" sheetId="21" r:id="rId21"/>
    <sheet name="Sill" sheetId="22" r:id="rId22"/>
    <sheet name="BirchThumb" sheetId="23" r:id="rId23"/>
    <sheet name="Keith" sheetId="24" r:id="rId24"/>
    <sheet name="CarTyndallPrint" sheetId="25" r:id="rId25"/>
    <sheet name="5-7-05" sheetId="26" r:id="rId26"/>
    <sheet name="Matterhorn" sheetId="27" r:id="rId27"/>
    <sheet name="Matterhorn print" sheetId="28" r:id="rId28"/>
    <sheet name="Tyndall-Junction" sheetId="29" r:id="rId29"/>
    <sheet name="Baxter03" sheetId="30" r:id="rId30"/>
    <sheet name="OnionVfoodPrin" sheetId="31" r:id="rId31"/>
    <sheet name="Irvine-Malloroy" sheetId="32" r:id="rId32"/>
    <sheet name="Langley" sheetId="33" r:id="rId33"/>
    <sheet name="Dinky" sheetId="34" r:id="rId34"/>
    <sheet name="IronMtnFood" sheetId="35" r:id="rId35"/>
  </sheets>
  <definedNames>
    <definedName name="clark" localSheetId="5">'Master Weight List'!$A$624</definedName>
    <definedName name="homealone" localSheetId="5">'Master Weight List'!$A$611</definedName>
    <definedName name="_xlnm.Print_Area" localSheetId="25">'5-7-05'!$A$1:$I$46</definedName>
    <definedName name="_xlnm.Print_Area" localSheetId="8">'Barnard'!$A$1:$G$129</definedName>
    <definedName name="_xlnm.Print_Area" localSheetId="7">'BarnardPack'!$A$1:$K$159</definedName>
    <definedName name="_xlnm.Print_Area" localSheetId="0">'Goddard'!$A$3:$J$137</definedName>
    <definedName name="_xlnm.Print_Area" localSheetId="9">'Kaweah'!$A$1:$G$111</definedName>
    <definedName name="_xlnm.Print_Area" localSheetId="23">'Keith'!$107:$164</definedName>
    <definedName name="_xlnm.Print_Area" localSheetId="16">'Koip'!$A$3:$N$113</definedName>
    <definedName name="_xlnm.Print_Area" localSheetId="27">'Matterhorn print'!$A$1:$C$59</definedName>
    <definedName name="_xlnm.Print_Area" localSheetId="20">'OnionValley'!$B$3:$F$103</definedName>
    <definedName name="_xlnm.Print_Area" localSheetId="30">'OnionVfoodPrin'!$A$1:$Y$24</definedName>
    <definedName name="_xlnm.Print_Area" localSheetId="3">'Sawmill'!$A$1:$K$130</definedName>
    <definedName name="_xlnm.Print_Area" localSheetId="19">'StanfordMorgan'!$B$1:$H$79</definedName>
    <definedName name="_xlnm.Print_Area" localSheetId="18">'StanfordMorganPrintFood'!$A$1:$Z$24</definedName>
    <definedName name="_xlnm.Print_Area" localSheetId="13">'Tom'!$A$3:$H$125</definedName>
    <definedName name="_xlnm.Print_Area" localSheetId="11">'TomPack'!$A$3:$H$96</definedName>
    <definedName name="ultra" localSheetId="5">'Master Weight List'!$A$737</definedName>
    <definedName name="Z_F576FB5A_F92C_4775_AA18_2696F7ED075B_.wvu.PrintArea" localSheetId="25" hidden="1">'5-7-05'!$A$1:$I$46</definedName>
    <definedName name="Z_F576FB5A_F92C_4775_AA18_2696F7ED075B_.wvu.PrintArea" localSheetId="8" hidden="1">'Barnard'!$A$1:$G$129</definedName>
    <definedName name="Z_F576FB5A_F92C_4775_AA18_2696F7ED075B_.wvu.PrintArea" localSheetId="7" hidden="1">'BarnardPack'!$A$1:$K$159</definedName>
    <definedName name="Z_F576FB5A_F92C_4775_AA18_2696F7ED075B_.wvu.PrintArea" localSheetId="0" hidden="1">'Goddard'!$A$2:$G$106</definedName>
    <definedName name="Z_F576FB5A_F92C_4775_AA18_2696F7ED075B_.wvu.PrintArea" localSheetId="9" hidden="1">'Kaweah'!$A$1:$G$111</definedName>
    <definedName name="Z_F576FB5A_F92C_4775_AA18_2696F7ED075B_.wvu.PrintArea" localSheetId="23" hidden="1">'Keith'!$107:$164</definedName>
    <definedName name="Z_F576FB5A_F92C_4775_AA18_2696F7ED075B_.wvu.PrintArea" localSheetId="16" hidden="1">'Koip'!$A$3:$N$113</definedName>
    <definedName name="Z_F576FB5A_F92C_4775_AA18_2696F7ED075B_.wvu.PrintArea" localSheetId="27" hidden="1">'Matterhorn print'!$A$1:$C$59</definedName>
    <definedName name="Z_F576FB5A_F92C_4775_AA18_2696F7ED075B_.wvu.PrintArea" localSheetId="20" hidden="1">'OnionValley'!$B$3:$F$103</definedName>
    <definedName name="Z_F576FB5A_F92C_4775_AA18_2696F7ED075B_.wvu.PrintArea" localSheetId="30" hidden="1">'OnionVfoodPrin'!$A$1:$Y$24</definedName>
    <definedName name="Z_F576FB5A_F92C_4775_AA18_2696F7ED075B_.wvu.PrintArea" localSheetId="3" hidden="1">'Sawmill'!$A$1:$K$141</definedName>
    <definedName name="Z_F576FB5A_F92C_4775_AA18_2696F7ED075B_.wvu.PrintArea" localSheetId="19" hidden="1">'StanfordMorgan'!$B$1:$H$79</definedName>
    <definedName name="Z_F576FB5A_F92C_4775_AA18_2696F7ED075B_.wvu.PrintArea" localSheetId="18" hidden="1">'StanfordMorganPrintFood'!$A$1:$Z$24</definedName>
    <definedName name="Z_F576FB5A_F92C_4775_AA18_2696F7ED075B_.wvu.PrintArea" localSheetId="13" hidden="1">'Tom'!$A$3:$H$125</definedName>
    <definedName name="Z_F576FB5A_F92C_4775_AA18_2696F7ED075B_.wvu.PrintArea" localSheetId="11" hidden="1">'TomPack'!$A$3:$H$96</definedName>
  </definedNames>
  <calcPr fullCalcOnLoad="1" iterate="1" iterateCount="1" iterateDelta="0.001"/>
</workbook>
</file>

<file path=xl/sharedStrings.xml><?xml version="1.0" encoding="utf-8"?>
<sst xmlns="http://schemas.openxmlformats.org/spreadsheetml/2006/main" count="6322" uniqueCount="2151">
  <si>
    <t>CD's</t>
  </si>
  <si>
    <t>grey plastic durapeg Tent Stake</t>
  </si>
  <si>
    <t>scissors</t>
  </si>
  <si>
    <t>down jacket</t>
  </si>
  <si>
    <t>new emergency space blanket</t>
  </si>
  <si>
    <t>old emergency space blanket</t>
  </si>
  <si>
    <t>orange ground cloth, 2.5 mil, for Sierra West gortex tent</t>
  </si>
  <si>
    <t>GPS, garmin etrex legend w/lithiums in baggie</t>
  </si>
  <si>
    <t>Nylon Glove Liners, brown</t>
  </si>
  <si>
    <t>toilet paper</t>
  </si>
  <si>
    <t>vitamin/calcium</t>
  </si>
  <si>
    <t>drugs</t>
  </si>
  <si>
    <t>4 each, pillbox</t>
  </si>
  <si>
    <t>2 sudafed,12 P 111,11 P1, plilbox</t>
  </si>
  <si>
    <t xml:space="preserve">Tweezers Light Battery Tape </t>
  </si>
  <si>
    <t>Comb Elastic String Knife</t>
  </si>
  <si>
    <t>512 mb camera mem</t>
  </si>
  <si>
    <t>Razor</t>
  </si>
  <si>
    <t>Paper towels blue, 4</t>
  </si>
  <si>
    <t>four tough blue paper towels with band</t>
  </si>
  <si>
    <t>fridge</t>
  </si>
  <si>
    <t>white</t>
  </si>
  <si>
    <t>old</t>
  </si>
  <si>
    <t>white FLUFFY socks, spare</t>
  </si>
  <si>
    <t>white FLUFFY socks</t>
  </si>
  <si>
    <t>boots, VASQUE</t>
  </si>
  <si>
    <t>SPOON</t>
  </si>
  <si>
    <t>TITANIUM IN BAGGIE</t>
  </si>
  <si>
    <t>EARPLUGS/BOX</t>
  </si>
  <si>
    <t>SOFT YELLOW IN PILLBOX</t>
  </si>
  <si>
    <t>CAR BAG</t>
  </si>
  <si>
    <t>TOOLS - 2 BOXES</t>
  </si>
  <si>
    <t>CAR</t>
  </si>
  <si>
    <t>PUMP, CAR TIRE</t>
  </si>
  <si>
    <t>CAMERA/BAT/CASE</t>
  </si>
  <si>
    <t>BLACK NEOPRENE CASE, CR-V3 BAT</t>
  </si>
  <si>
    <t>TOOTHBRUSH AND PASTE</t>
  </si>
  <si>
    <t>underpants, spare</t>
  </si>
  <si>
    <t>items</t>
  </si>
  <si>
    <t>8 fruit bars</t>
  </si>
  <si>
    <t>day</t>
  </si>
  <si>
    <t>waxed string, 100'</t>
  </si>
  <si>
    <t>Mt. Washington Evazote Foam Sleeping Pad, with 2 straps</t>
  </si>
  <si>
    <t>Bar,Mixed Berry, Nature Valley</t>
  </si>
  <si>
    <t>pure protein, high protein double layer bar, strawberry shortcake</t>
  </si>
  <si>
    <t>Simply the Best Trek Mix, Trdr Joes cashews almonds pineapple cranberries tart cheries</t>
  </si>
  <si>
    <t>BearVault Model BV110b my measurementswith new lid  377 fl. oz.</t>
  </si>
  <si>
    <t>bearvault (not going)</t>
  </si>
  <si>
    <t>total food/wrap/liquid gatorade</t>
  </si>
  <si>
    <t>wrapping</t>
  </si>
  <si>
    <t>all food in big bearvault, no gatorade</t>
  </si>
  <si>
    <t>BR/fridge</t>
  </si>
  <si>
    <t xml:space="preserve"> ---</t>
  </si>
  <si>
    <t>the 2 straps from Mt. Washington Evazote Foam Sleeping Pad</t>
  </si>
  <si>
    <t>Ridge Rest Sleeping Pad 3/4 48" x 20 " advertised weight 260 g, R-value  2.6</t>
  </si>
  <si>
    <t>Mt. Washington Evazote Foam Sleeping Pad, alone, 20" x 60" advertised at 7 oz., R-value 2.27</t>
  </si>
  <si>
    <t>lafuma comfort system fleece SHIRT</t>
  </si>
  <si>
    <t>backpack + platypus w/splice</t>
  </si>
  <si>
    <t>rubber tip cap</t>
  </si>
  <si>
    <t>strap</t>
  </si>
  <si>
    <t>wooden cap</t>
  </si>
  <si>
    <t>Aluminum Nut</t>
  </si>
  <si>
    <t>tip and bale</t>
  </si>
  <si>
    <t>bale</t>
  </si>
  <si>
    <t>polyester/lycra black GLOVES, by REI</t>
  </si>
  <si>
    <t>minimal weight for deb's hiking pole w/o cap, bale, strap, but with nut to cap the screw on top</t>
  </si>
  <si>
    <t>Steve's ice axe/w strap+duct tape</t>
  </si>
  <si>
    <t>Ushba Altai Ice Axe head cover</t>
  </si>
  <si>
    <t>Ushba Altai Titanium Ice Axe, no strap or covers, 65 cm</t>
  </si>
  <si>
    <t xml:space="preserve"> </t>
  </si>
  <si>
    <t>thermometer</t>
  </si>
  <si>
    <t>Merrell Boot, right, no lace</t>
  </si>
  <si>
    <t>Merrell Boot, left , no lace</t>
  </si>
  <si>
    <t>TWO Merrell Boot laces 72", with tips</t>
  </si>
  <si>
    <t>Salomon Boot, right, with lace</t>
  </si>
  <si>
    <t>Salomon Boot, left , with lace</t>
  </si>
  <si>
    <t>total, pair Deb's Salomon boots</t>
  </si>
  <si>
    <t>stren scale</t>
  </si>
  <si>
    <t>4 lb, 1oz</t>
  </si>
  <si>
    <t>g</t>
  </si>
  <si>
    <t>SPF 25 aloe kote net wt. .25 oz</t>
  </si>
  <si>
    <t>g net wt</t>
  </si>
  <si>
    <t>above 2 combined into little polycarbonite pill box</t>
  </si>
  <si>
    <t>#3 Al Chock with steel cable and aluminum ring ( for ursack anchoring )</t>
  </si>
  <si>
    <t>heel pads, untrimmed</t>
  </si>
  <si>
    <t>grey measuring cup, plastic, no handle</t>
  </si>
  <si>
    <t>grey plastic measuring CUP, no handle</t>
  </si>
  <si>
    <t>North Face Lightspeed Long tent rainfly and poles</t>
  </si>
  <si>
    <t xml:space="preserve">15 aspirin, 4 Ibuprofen, 3 vitamins, 3 calcium IN CONTAINER </t>
  </si>
  <si>
    <t>Droste Extra Dark Chocolate 72% cocoa</t>
  </si>
  <si>
    <t>4oz of 151 rum in 16 gram bottle</t>
  </si>
  <si>
    <t>little water bottle, platypus</t>
  </si>
  <si>
    <t>big water bottle, platypus</t>
  </si>
  <si>
    <t>tiny pencil, box-cutter, tiny scissors with tube-cover, rubber bands, lighter, micro-LED-flashlight,sewingkit??? in container, baggie, waxed string, 100'</t>
  </si>
  <si>
    <t>stubai aluminum crampons with straps and screws, cut straps</t>
  </si>
  <si>
    <t>Garcia ABS bear canister,$57.25 delivered (+tax?) whitneyportalstore.com</t>
  </si>
  <si>
    <t>ursack TKO bear bag, 9.8 liter=598 c.i., advertised 5 oz, 650 c.i.</t>
  </si>
  <si>
    <t>yellow adidas shirt</t>
  </si>
  <si>
    <t>columbia women's large zipoff pants after trimming</t>
  </si>
  <si>
    <t>tents weighed at REI San Dimas ----------------------------------</t>
  </si>
  <si>
    <t>4lb 0oz</t>
  </si>
  <si>
    <t>Sierra Designs clip flashlight - 114% of advertised 3lb 8oz</t>
  </si>
  <si>
    <t>5lb 15oz North Face Lunar Light - 135% of advertised 4lb 6oz</t>
  </si>
  <si>
    <t>4lb 10oz Walrus Arch Rival - 109% of advertised 4lb 4oz</t>
  </si>
  <si>
    <t>North Face Lightspeed Long tent advertised 3lb 15oz</t>
  </si>
  <si>
    <t>-------------------------------</t>
  </si>
  <si>
    <t>13 tent stakes (16.2g each)</t>
  </si>
  <si>
    <t>pole repair aluminum tube</t>
  </si>
  <si>
    <r>
      <t xml:space="preserve">SDULCD uses </t>
    </r>
    <r>
      <rPr>
        <b/>
        <sz val="14"/>
        <rFont val="Arial"/>
        <family val="2"/>
      </rPr>
      <t>7 to 9</t>
    </r>
    <r>
      <rPr>
        <b/>
        <sz val="10"/>
        <rFont val="Arial"/>
        <family val="2"/>
      </rPr>
      <t xml:space="preserve"> </t>
    </r>
    <r>
      <rPr>
        <b/>
        <sz val="14"/>
        <rFont val="Arial"/>
        <family val="2"/>
      </rPr>
      <t>stakes</t>
    </r>
  </si>
  <si>
    <t xml:space="preserve">carbon fiber hiking pole, </t>
  </si>
  <si>
    <t>SDULCD Tent/fly/poles/GC</t>
  </si>
  <si>
    <t>driving instructions</t>
  </si>
  <si>
    <t>The Gossamer is much smaller than the Cobra.  The Cobra has 27 sq. ft. of floor space, while the Gossamer has 16 sq. ft.  The Gossamer is comfortable sleeping one person, and has a small amount of space inside for a few extra items.</t>
  </si>
  <si>
    <r>
      <t>Eureka Gossamer Tent, $90 at campmor Min. Wt.2 lbs. 8 oz.  Packaged Wt.2 lbs. 14 oz.,</t>
    </r>
    <r>
      <rPr>
        <b/>
        <sz val="10"/>
        <rFont val="Arial"/>
        <family val="2"/>
      </rPr>
      <t xml:space="preserve"> actual weight 3 lb. 6.5oz</t>
    </r>
    <r>
      <rPr>
        <sz val="10"/>
        <rFont val="Arial"/>
        <family val="0"/>
      </rPr>
      <t xml:space="preserve"> Dimensions2 ft. 8 in. x 8 ft.  Area(sq. ft.) 16 + vestibule 5</t>
    </r>
  </si>
  <si>
    <t>Sierra West Gortex one-man tent bivy sack TOTAL with poles, tent, 6 stakes, poles, baggie for poles</t>
  </si>
  <si>
    <t>total tent, fly , fly guys, poles-in-sack,19 stakes in sack, NO GROUND CLOTH, no straps, no stuff sack, no repair tube</t>
  </si>
  <si>
    <t>Coleman peak 1 cobra tent</t>
  </si>
  <si>
    <t>On the Post Office scales, without a groundcloth, the Peak 1 Cobra weighed 3 lbs. 10.3 oz., the Eureka Gossamer weighed 3 lbs. 6.5 oz., a difference of 3.8 oz. http://www.oc.edu/staff/phil.heffington/gearcomparisons.htm</t>
  </si>
  <si>
    <t>TNF LIGHTSPEED LONG total tent, fly , fly guys, poles-in-sack,19 stakes in sack, NO GROUND CLOTH, no straps, no stuff sack, no repair tube</t>
  </si>
  <si>
    <t>Sierra Desings big blue tough tent with tent, fly, many ropes, variety 25 stakes, stake bag, no tent bag</t>
  </si>
  <si>
    <t>water, bladder and bottle</t>
  </si>
  <si>
    <t>rain jacket</t>
  </si>
  <si>
    <t>knit hat</t>
  </si>
  <si>
    <t>2 poles</t>
  </si>
  <si>
    <t>snowshoes</t>
  </si>
  <si>
    <t>phone</t>
  </si>
  <si>
    <t>pack of tissues (for TP), 7 acetophetamin</t>
  </si>
  <si>
    <t>space blanket</t>
  </si>
  <si>
    <t>2 lithiums</t>
  </si>
  <si>
    <t xml:space="preserve">minolta f100 camera, </t>
  </si>
  <si>
    <t xml:space="preserve">GPS </t>
  </si>
  <si>
    <t>grain bar</t>
  </si>
  <si>
    <t>balance</t>
  </si>
  <si>
    <t>zone</t>
  </si>
  <si>
    <t>snapple smoothie</t>
  </si>
  <si>
    <t>juice can</t>
  </si>
  <si>
    <t>topo maps</t>
  </si>
  <si>
    <t>hat</t>
  </si>
  <si>
    <t>fancy compass</t>
  </si>
  <si>
    <t>Fritz's Coleman peak 1 tent</t>
  </si>
  <si>
    <t>poles</t>
  </si>
  <si>
    <t>poles in bag</t>
  </si>
  <si>
    <t>stakes in bag</t>
  </si>
  <si>
    <t>10 stakes</t>
  </si>
  <si>
    <t>shirt, green golite cthru</t>
  </si>
  <si>
    <t>snow stakes</t>
  </si>
  <si>
    <t>Titanium Ice Axe/ lightweight strap</t>
  </si>
  <si>
    <t>Ice Axe head cover</t>
  </si>
  <si>
    <t>crampons, stubai aluminum, straps</t>
  </si>
  <si>
    <t>camera case, blue zippered</t>
  </si>
  <si>
    <t>spare memory for camera, 384MB</t>
  </si>
  <si>
    <t>car key, small</t>
  </si>
  <si>
    <t>est.</t>
  </si>
  <si>
    <t>on back</t>
  </si>
  <si>
    <t>1 stake</t>
  </si>
  <si>
    <t>19 easton stakes</t>
  </si>
  <si>
    <t>1 easton stake</t>
  </si>
  <si>
    <t>10 easton stakes</t>
  </si>
  <si>
    <t>green or black Brookes shorts with built-in underwear, no pockets</t>
  </si>
  <si>
    <t>TP, 77 double sheets in baggie</t>
  </si>
  <si>
    <t>towellettes in bag</t>
  </si>
  <si>
    <t>3 AAA lithium(or alkaline) Batteries</t>
  </si>
  <si>
    <t>ml per fl. Oz.</t>
  </si>
  <si>
    <t>Where the 4wd road absolutely ends, don't drive here</t>
  </si>
  <si>
    <t>User Waypoint</t>
  </si>
  <si>
    <t>N37.08754 W118.36862</t>
  </si>
  <si>
    <t>7086 ft</t>
  </si>
  <si>
    <t>Symbol &amp; Name</t>
  </si>
  <si>
    <t>Unknown</t>
  </si>
  <si>
    <t>Trail Head</t>
  </si>
  <si>
    <t>BRCHMN</t>
  </si>
  <si>
    <t>Birch Mountain (4164 m)</t>
  </si>
  <si>
    <t>N37.06384 W118.41897</t>
  </si>
  <si>
    <t>13602 ft</t>
  </si>
  <si>
    <t>Dark Red</t>
  </si>
  <si>
    <t>Summit</t>
  </si>
  <si>
    <t>Camp</t>
  </si>
  <si>
    <t>Approximate tent site location</t>
  </si>
  <si>
    <t>N37.07596 W118.42549</t>
  </si>
  <si>
    <t>10800 ft</t>
  </si>
  <si>
    <t>Campground</t>
  </si>
  <si>
    <t>CHUTE</t>
  </si>
  <si>
    <t>A point on our way up, leave ridge, enter shallow chute</t>
  </si>
  <si>
    <t>N37.06252 W118.42694</t>
  </si>
  <si>
    <t>12245 ft</t>
  </si>
  <si>
    <t>Magenta</t>
  </si>
  <si>
    <t xml:space="preserve"> Backpack List 2 day 1 night Mt. Baxter, May31, June 1 , 2003</t>
  </si>
  <si>
    <t>BearVault Model BV100 my measurements: 1105g (188g lid+917g body)  377 fl. oz.</t>
  </si>
  <si>
    <t>headband only, from Petzl Tikka Plus</t>
  </si>
  <si>
    <t>LED Headlamp, Petzl Tikka Plus alone, no batteries, no band</t>
  </si>
  <si>
    <t>LED Headlamp, Petzl Tikka Plus , with 3 AAA lithiums, no band</t>
  </si>
  <si>
    <t>headband only, from Black Diamond Headlamp</t>
  </si>
  <si>
    <t>fit fine with new vasque boots and stubai crampons.</t>
  </si>
  <si>
    <t>air matress</t>
  </si>
  <si>
    <t>damp</t>
  </si>
  <si>
    <t>damp spot, no water</t>
  </si>
  <si>
    <t>N37.08644 W118.39360</t>
  </si>
  <si>
    <t>stubai aluminum crampons with straps and screws</t>
  </si>
  <si>
    <t>8840 ft</t>
  </si>
  <si>
    <t>Green Diamond</t>
  </si>
  <si>
    <t>Gate</t>
  </si>
  <si>
    <t>Park Here, barbed-wire gate</t>
  </si>
  <si>
    <t>N37.08831 W118.36116</t>
  </si>
  <si>
    <t>6500 ft</t>
  </si>
  <si>
    <t>Exit</t>
  </si>
  <si>
    <t>spring1</t>
  </si>
  <si>
    <t>1st spring going up, very small</t>
  </si>
  <si>
    <t>N37.08681 W118.38631</t>
  </si>
  <si>
    <t>8197 ft</t>
  </si>
  <si>
    <t>Drinking Water</t>
  </si>
  <si>
    <t>THE-THUMB</t>
  </si>
  <si>
    <t>N37.07147 W118.44597</t>
  </si>
  <si>
    <t>13356 ft</t>
  </si>
  <si>
    <t>Trough</t>
  </si>
  <si>
    <t>cell phone, with bat. no case</t>
  </si>
  <si>
    <t>cell phone, with bat. &amp; baggie, no case</t>
  </si>
  <si>
    <t>2nd small spring going up, broken trough</t>
  </si>
  <si>
    <t>N37.08531 W118.39903</t>
  </si>
  <si>
    <t>9193 ft</t>
  </si>
  <si>
    <t>Waypoints exported from Mapsource</t>
  </si>
  <si>
    <t>tire snow chains</t>
  </si>
  <si>
    <t>laundry bag</t>
  </si>
  <si>
    <t>gloves</t>
  </si>
  <si>
    <t>2 DAY TOTAL</t>
  </si>
  <si>
    <t>Wool Balaclava, grey/white</t>
  </si>
  <si>
    <t>paper towels, 4 big blue, in baggie</t>
  </si>
  <si>
    <t>blue/grey knit hat</t>
  </si>
  <si>
    <t>grey/white wool cap</t>
  </si>
  <si>
    <t>Gloves, fingerless gray/white wool</t>
  </si>
  <si>
    <t>mittens, grey/white wool</t>
  </si>
  <si>
    <t>Glove/mittens, fingerless fingers, full thumb, finger cover flap mitten, grey/white wool</t>
  </si>
  <si>
    <t>x</t>
  </si>
  <si>
    <t>sierra club black DAYPACK</t>
  </si>
  <si>
    <t>R</t>
  </si>
  <si>
    <t>B</t>
  </si>
  <si>
    <t>camera / memory</t>
  </si>
  <si>
    <t xml:space="preserve"> / CR-V3 battery (WEIGHT INC. ABOVE)</t>
  </si>
  <si>
    <t>GPS with &amp; case, no hard back</t>
  </si>
  <si>
    <t>/  lithium batteries (WEIGHT AINCLUDED ABOVE)</t>
  </si>
  <si>
    <t>X</t>
  </si>
  <si>
    <t>cotton s-bagS</t>
  </si>
  <si>
    <t>RAZORS</t>
  </si>
  <si>
    <t>SHAMPOO</t>
  </si>
  <si>
    <t>Yosemite T-shirt</t>
  </si>
  <si>
    <t>shirt, green with white mesh bents on side, Golite cthru, medium</t>
  </si>
  <si>
    <t>WITH HANDLE</t>
  </si>
  <si>
    <t>PHD Minimus DOWN VEST , size M</t>
  </si>
  <si>
    <t>grey measuring cup, plastic, WITH handle</t>
  </si>
  <si>
    <t>running shirt, YOSEMITE</t>
  </si>
  <si>
    <t>tastes good, no fat, no protein, "MAKES 8OZ"/ serving</t>
  </si>
  <si>
    <t>Q-TIPS</t>
  </si>
  <si>
    <t>XX</t>
  </si>
  <si>
    <t>TOWEL</t>
  </si>
  <si>
    <t>rice krisp. marsh. Bar</t>
  </si>
  <si>
    <t>RUM, WITH SPARE BOTTLE</t>
  </si>
  <si>
    <t>BURGUNDY BACKPACK</t>
  </si>
  <si>
    <t>BURGUNDY DAYPACK</t>
  </si>
  <si>
    <t>knife (black box cutter)</t>
  </si>
  <si>
    <t>SECOR CLIMBING GUIDE</t>
  </si>
  <si>
    <t>nimh recharger</t>
  </si>
  <si>
    <t>nimh recharger CAR PLUG</t>
  </si>
  <si>
    <t>Liquid soap , in container</t>
  </si>
  <si>
    <t>BATTERY TESTER</t>
  </si>
  <si>
    <t>TOWELETTES</t>
  </si>
  <si>
    <t>3-way adapter for 12v lighter socket</t>
  </si>
  <si>
    <t>CB</t>
  </si>
  <si>
    <t>1 pillow</t>
  </si>
  <si>
    <t>BP</t>
  </si>
  <si>
    <t>N-cal delorme topo book</t>
  </si>
  <si>
    <t>CA REC. TOPO book</t>
  </si>
  <si>
    <t xml:space="preserve"> HIGH SAT. FAT, HIGH FIBER AND PROTEIN</t>
  </si>
  <si>
    <t>left-over food</t>
  </si>
  <si>
    <t>total leftover food</t>
  </si>
  <si>
    <t>calories consumed</t>
  </si>
  <si>
    <t>1/2 sandwich from Ron</t>
  </si>
  <si>
    <t>Grid</t>
  </si>
  <si>
    <t>Lat/Lon hddd.ddddd°</t>
  </si>
  <si>
    <t>Datum</t>
  </si>
  <si>
    <t>WGS 84</t>
  </si>
  <si>
    <t>Header</t>
  </si>
  <si>
    <t>Name</t>
  </si>
  <si>
    <t>Description</t>
  </si>
  <si>
    <t>Type</t>
  </si>
  <si>
    <t>Position</t>
  </si>
  <si>
    <t>spare underpants</t>
  </si>
  <si>
    <t>Altitude</t>
  </si>
  <si>
    <t>Depth</t>
  </si>
  <si>
    <t>Proximity</t>
  </si>
  <si>
    <t>Display Mode</t>
  </si>
  <si>
    <t>Color</t>
  </si>
  <si>
    <t>Symbol</t>
  </si>
  <si>
    <t>Facility</t>
  </si>
  <si>
    <t>City</t>
  </si>
  <si>
    <t>State</t>
  </si>
  <si>
    <t>Country</t>
  </si>
  <si>
    <t>Waypoint</t>
  </si>
  <si>
    <t>BIRCHTRAIL</t>
  </si>
  <si>
    <t>BV250 advertised 433 cubic inches, 1lb 14 oz = 30 oz, 8.7 in. dia. x 8.0 in. high. 1 oz. heavier than advertised</t>
  </si>
  <si>
    <t>battery tester</t>
  </si>
  <si>
    <t>spare tyvek groundcloth</t>
  </si>
  <si>
    <t>compass, with bearing scale, clips on to watch band</t>
  </si>
  <si>
    <t>cell phone CORD</t>
  </si>
  <si>
    <t xml:space="preserve">Lone Pine, Inyo County, California (longitude W118.1, latitude N36.6): </t>
  </si>
  <si>
    <t xml:space="preserve">Friday   30 May 2003 Pacific Daylight Time  </t>
  </si>
  <si>
    <t xml:space="preserve">Begin twilight 5:06 a.m. </t>
  </si>
  <si>
    <t xml:space="preserve">Sunrise        5:36 a.m. </t>
  </si>
  <si>
    <t xml:space="preserve">Sunset         8:04 p.m. </t>
  </si>
  <si>
    <t xml:space="preserve">End twilight   8:34 p.m. </t>
  </si>
  <si>
    <t xml:space="preserve">Moonrise       5:14 a.m. </t>
  </si>
  <si>
    <t>Moonset        7:58 p.m.</t>
  </si>
  <si>
    <t>Saturday  31 May 2003</t>
  </si>
  <si>
    <t>cell phone/case/stick</t>
  </si>
  <si>
    <t>Counter Assault Bear Keg food container Height 14 inches Diameter 9 inches 3.1 lb., $80, counterassault.com or REI</t>
  </si>
  <si>
    <t>cal/day, no noticable weight change.</t>
  </si>
  <si>
    <t>food baggies</t>
  </si>
  <si>
    <t>Merrel boots with laces</t>
  </si>
  <si>
    <t>rice krisp. marsh. Trader Joe's</t>
  </si>
  <si>
    <t>LOW PROTEIN</t>
  </si>
  <si>
    <t>lightweight hat with string</t>
  </si>
  <si>
    <t>white socks</t>
  </si>
  <si>
    <t>spare liner socks</t>
  </si>
  <si>
    <t>liner socks</t>
  </si>
  <si>
    <t>underpants</t>
  </si>
  <si>
    <t>Timex Ironman Indiglo, new velcro strap</t>
  </si>
  <si>
    <t>compass, bearing scale, on watch band</t>
  </si>
  <si>
    <t xml:space="preserve">glasses case                                                   </t>
  </si>
  <si>
    <t xml:space="preserve">sun glasses                                                     </t>
  </si>
  <si>
    <t xml:space="preserve">clear glasses                                                     </t>
  </si>
  <si>
    <t xml:space="preserve">6 AA lithiums                                                     </t>
  </si>
  <si>
    <t xml:space="preserve">camera case, for Minolta F100                            </t>
  </si>
  <si>
    <t xml:space="preserve">spare memory for camera, in clear plastic case    </t>
  </si>
  <si>
    <t xml:space="preserve">camera / memory                                               </t>
  </si>
  <si>
    <t>calorie goal, Barnard</t>
  </si>
  <si>
    <t>OZ/ serving, makes</t>
  </si>
  <si>
    <t>1ounce[US, liquid] =0.029 57353 liter</t>
  </si>
  <si>
    <t>1 ounce [US, liquid] = 0.02957353 liter</t>
  </si>
  <si>
    <t>liters</t>
  </si>
  <si>
    <t>total, Harry on the trail, no water</t>
  </si>
  <si>
    <t>total on back, no water</t>
  </si>
  <si>
    <t>full crampons with red webbing, taped tips</t>
  </si>
  <si>
    <t>tiny pencil</t>
  </si>
  <si>
    <t>gauze, 3" x 90", sterile in sealed bag.</t>
  </si>
  <si>
    <t>gauze, 90" roll</t>
  </si>
  <si>
    <t>knife (box cutter)</t>
  </si>
  <si>
    <t>1 lb</t>
  </si>
  <si>
    <t>heel pads for running shoes that I wore in half marathon</t>
  </si>
  <si>
    <t xml:space="preserve"> Backpack List 2 day 1 night Onion Valley SPS sonw practice April 16-17, 2005</t>
  </si>
  <si>
    <t>camera</t>
  </si>
  <si>
    <t>BCB</t>
  </si>
  <si>
    <t>PTP</t>
  </si>
  <si>
    <t>Rain Jacket, green</t>
  </si>
  <si>
    <t>Paper towels, 6</t>
  </si>
  <si>
    <t>URSACK</t>
  </si>
  <si>
    <t>BED</t>
  </si>
  <si>
    <t>NiMh charger and bat's</t>
  </si>
  <si>
    <t>money</t>
  </si>
  <si>
    <t>jerkey, trdr joes</t>
  </si>
  <si>
    <t>jerkey, beef teriyaki, Trader Joes</t>
  </si>
  <si>
    <t>Serv Size g</t>
  </si>
  <si>
    <t>Chlst. Mg / Serv.</t>
  </si>
  <si>
    <t>1 carbon fiber snowshoe pole, with red strap</t>
  </si>
  <si>
    <t>topo map in baggie</t>
  </si>
  <si>
    <t>pack of tissues (for TP), 7 acetophetamin, 2 vitamins, 2 calcium, etc., container</t>
  </si>
  <si>
    <t>pencil, box-cutter, scissors, rubber bands,bandaids, whistle, lighter, wax string</t>
  </si>
  <si>
    <t>micro-LED-f_light/spare bat., [sewing/glasses repair/container], 100' waxed string, baggie, elastic</t>
  </si>
  <si>
    <t>spare camera memory,LED headlamp light, adhesive tape, sunblock/chapstick/pill-box</t>
  </si>
  <si>
    <t>minolta f100 camera, no battery</t>
  </si>
  <si>
    <t>512 MB memory</t>
  </si>
  <si>
    <t>100 oz. Capacity "big zip 3" with hyperflow bite valve, with splice in the tube</t>
  </si>
  <si>
    <t>platypus cap,tube, and mouthpiece, with splice in the tube</t>
  </si>
  <si>
    <t>newer red backpack, empty, with string for bladder tie-in</t>
  </si>
  <si>
    <t>older red backpack alone</t>
  </si>
  <si>
    <t>black net backpack</t>
  </si>
  <si>
    <t>columbia zipoff pant legs only</t>
  </si>
  <si>
    <t>columbia zipoff pants without legs</t>
  </si>
  <si>
    <t>evazote pad for golite speed back pad pocket, trimmed 9-24-02</t>
  </si>
  <si>
    <t>golite speed backpack body(651) with detachable top pocket(57) and evazote pad(33)</t>
  </si>
  <si>
    <t>backpack &amp; top pocket</t>
  </si>
  <si>
    <t>11 Tent stakes/ baggie</t>
  </si>
  <si>
    <t>Tent stakes 11</t>
  </si>
  <si>
    <t>with green cap, 1" mouth</t>
  </si>
  <si>
    <t>Cup</t>
  </si>
  <si>
    <t>Bar,Mixed Berry, Vature Valley</t>
  </si>
  <si>
    <t xml:space="preserve">phd minimus down jacket, with hood                      </t>
  </si>
  <si>
    <t xml:space="preserve">plastic pants                                                        </t>
  </si>
  <si>
    <t xml:space="preserve">old purple gortex rain jacket                                  </t>
  </si>
  <si>
    <t xml:space="preserve">blue hat with string                                               </t>
  </si>
  <si>
    <t xml:space="preserve">hike shirt, columbia beige                                     </t>
  </si>
  <si>
    <t xml:space="preserve">boots with laces                                                  </t>
  </si>
  <si>
    <t xml:space="preserve">PANTS, green Gramicci  quick                             </t>
  </si>
  <si>
    <t xml:space="preserve">watch                                                                 </t>
  </si>
  <si>
    <t xml:space="preserve">gaiters                                                                </t>
  </si>
  <si>
    <t xml:space="preserve">aurora 3 led headlamp with 3 AAA                        </t>
  </si>
  <si>
    <t>1 QT Gatorade bottle</t>
  </si>
  <si>
    <t>with cap</t>
  </si>
  <si>
    <t>gatorade mix</t>
  </si>
  <si>
    <t>Choclate, Ritter Sport Dark w/Marzipan</t>
  </si>
  <si>
    <t>Choclate, After Eight dark w/mint crème filling</t>
  </si>
  <si>
    <t>HIGH SAT. FAT, LOW PROTEIN</t>
  </si>
  <si>
    <t>GPS</t>
  </si>
  <si>
    <t>Phone: 831-338-7692, Fax: 831-338-2869</t>
  </si>
  <si>
    <t>http:\\GearShop.com</t>
  </si>
  <si>
    <t>Rope</t>
  </si>
  <si>
    <t>rope, 120 ft.</t>
  </si>
  <si>
    <t>black diamond 2-LED headlamp body only</t>
  </si>
  <si>
    <t>black diamond 2-LED headlamp strap cn body holder clamp</t>
  </si>
  <si>
    <t>black diamond 2-LED headlamp BATTERY only</t>
  </si>
  <si>
    <t>CAR------------------------------------------</t>
  </si>
  <si>
    <t>PX28L or PX28A or K28L OR 2CR-1/3N  6VOLT SILVER OXIDE</t>
  </si>
  <si>
    <t>PIEZO LIGHTER</t>
  </si>
  <si>
    <t>micro-LED-flashlight + SPARE BAT.</t>
  </si>
  <si>
    <t>band aids, 1ST AID BOX</t>
  </si>
  <si>
    <t>acetomenophin, 2 vitamins, 2 calcium, box</t>
  </si>
  <si>
    <t>pot holder, MSR</t>
  </si>
  <si>
    <t>TP, in baggie</t>
  </si>
  <si>
    <t>adhesive tape, spool, 1/2 inch, waterproof</t>
  </si>
  <si>
    <t>thicker black</t>
  </si>
  <si>
    <t>~4 oz 151 Rum in bottle &amp; baggie</t>
  </si>
  <si>
    <t>paper towels, 4 big blue</t>
  </si>
  <si>
    <t>PACK LAST -----------------------------</t>
  </si>
  <si>
    <t>WEAR -------------------------------------</t>
  </si>
  <si>
    <t>MSR stove, bag, 2 heavy foil &amp; 1 light foil</t>
  </si>
  <si>
    <t>.1 oz heavier than advertised</t>
  </si>
  <si>
    <t>stove, MSR WindPro alone</t>
  </si>
  <si>
    <t>stove bag, MSR WindPro</t>
  </si>
  <si>
    <t>stove reflectors, MSR WindPro, 2 heavy foils</t>
  </si>
  <si>
    <t>stove tool, MSR WindPro</t>
  </si>
  <si>
    <t>MSR WindPro stove in bag, with heavy foil &amp; light foil</t>
  </si>
  <si>
    <t>small fuel for new msr stove (snow peak gigapower?)</t>
  </si>
  <si>
    <t>1 MSR ultralight needle stake</t>
  </si>
  <si>
    <t>6.2"</t>
  </si>
  <si>
    <t>pistacio/pignola wrapping</t>
  </si>
  <si>
    <t>cap, knit striped colorful</t>
  </si>
  <si>
    <t>total food wrapping, all but pistacio/pignola/</t>
  </si>
  <si>
    <t>liquid gatorade</t>
  </si>
  <si>
    <t>total non-food in pack</t>
  </si>
  <si>
    <t>total food/water and wrapping weight</t>
  </si>
  <si>
    <t>total food/(NO water) and wrapping weight</t>
  </si>
  <si>
    <t>total w/o water</t>
  </si>
  <si>
    <t>dark bifocal glasses=sunglasses</t>
  </si>
  <si>
    <t>total food/water/gear in pack</t>
  </si>
  <si>
    <t>golite speed main pack, with pad and full helmet holder</t>
  </si>
  <si>
    <t>detachable top pocket for golite speed pack</t>
  </si>
  <si>
    <t>TP/tissue including baggie</t>
  </si>
  <si>
    <t>Soy Nuts, Roasted, salted, Trader Joe's</t>
  </si>
  <si>
    <t>average calories/g of the above</t>
  </si>
  <si>
    <t>average calories/g</t>
  </si>
  <si>
    <t>calorie goal 2</t>
  </si>
  <si>
    <t>food shortage 2</t>
  </si>
  <si>
    <t>PACK</t>
  </si>
  <si>
    <t>my orange ground cloth forSDULCD w/1 big rubber band</t>
  </si>
  <si>
    <t>paper towels, 4 blue, w/8 rubber bands (on pole ends)</t>
  </si>
  <si>
    <t>Mt. Wash. Evazote Foam Sleep Pad trimmed 49"</t>
  </si>
  <si>
    <t>spf 25/ SPF 50 sunblock &amp; spf 45 chapstick /pill box</t>
  </si>
  <si>
    <t>sleepwear silk bikini underpants UNDERPANTS, spare</t>
  </si>
  <si>
    <t>spare 256mb &amp; 128 mb memory for camera, in clear plastic case</t>
  </si>
  <si>
    <t>micro-LED-f_light (sewing/glasses repair/container), 100' waxed string, baggie</t>
  </si>
  <si>
    <t>pencil, box-cutter, scissors, rubber bands,bandaids, whistle, lighter</t>
  </si>
  <si>
    <t>camera / memory / CR-V3 batt. W/rubber band / spare band</t>
  </si>
  <si>
    <t>total in pack, no water</t>
  </si>
  <si>
    <t>items w/o food</t>
  </si>
  <si>
    <t>10 baggies for 11 food items</t>
  </si>
  <si>
    <t>TWO cheap Vasque Boot laces 72"</t>
  </si>
  <si>
    <t>Oz.</t>
  </si>
  <si>
    <t>Lbs.</t>
  </si>
  <si>
    <t>spare cell phone battery</t>
  </si>
  <si>
    <t>1 oz of 151</t>
  </si>
  <si>
    <t>in truck</t>
  </si>
  <si>
    <t>in box</t>
  </si>
  <si>
    <t>GPS w AA lithium batteries, no case, with hard battery cover</t>
  </si>
  <si>
    <t>total pack weight</t>
  </si>
  <si>
    <r>
      <t>Jacket, pullover, Marmot celery green</t>
    </r>
    <r>
      <rPr>
        <sz val="10"/>
        <color indexed="8"/>
        <rFont val="Arial"/>
        <family val="2"/>
      </rPr>
      <t xml:space="preserve"> Large size</t>
    </r>
  </si>
  <si>
    <r>
      <t>Jacket, Down pullover black PHD Minimus</t>
    </r>
    <r>
      <rPr>
        <sz val="10"/>
        <color indexed="8"/>
        <rFont val="Arial"/>
        <family val="2"/>
      </rPr>
      <t xml:space="preserve"> Medium</t>
    </r>
  </si>
  <si>
    <t>Trail Mix, Trdr Joes Matterhorn</t>
  </si>
  <si>
    <t>CR-V3 lithium for minolta f100</t>
  </si>
  <si>
    <t>Mini Cooper Key</t>
  </si>
  <si>
    <t>Summit Register</t>
  </si>
  <si>
    <t>lightyear CD footprint, sierra designs + 7 easton stakes + front pole + new rear pole + rain fly, NO SACKS, about 4.2 oz lighter than bivy sack</t>
  </si>
  <si>
    <t>LIGHTYEAR poles, 21ft waxed string,7 easton stakes,tent,fly,groundcloth</t>
  </si>
  <si>
    <t>TP</t>
  </si>
  <si>
    <t>towellettes</t>
  </si>
  <si>
    <t>maps</t>
  </si>
  <si>
    <t>2 daypacks</t>
  </si>
  <si>
    <t>2 down jackets</t>
  </si>
  <si>
    <t xml:space="preserve"> cash</t>
  </si>
  <si>
    <t>2 loud whistles</t>
  </si>
  <si>
    <t>knives</t>
  </si>
  <si>
    <t>brush</t>
  </si>
  <si>
    <t>razors</t>
  </si>
  <si>
    <t>black trowel/spade</t>
  </si>
  <si>
    <t xml:space="preserve"> insect repel</t>
  </si>
  <si>
    <t>GPS with nimh batteries &amp; case, no hard back</t>
  </si>
  <si>
    <t>nimh recharger and 2 plugs, car and 100vac</t>
  </si>
  <si>
    <t>power strip</t>
  </si>
  <si>
    <t>rain leggings</t>
  </si>
  <si>
    <t xml:space="preserve"> Backpack Packing List 3 days 2 nights, Langley, June 21-23, 2002</t>
  </si>
  <si>
    <t xml:space="preserve"> Backpack List 2.1 day 2 night Mt. Irvine/Malloroy/Lone Pine Peak. Sept. 27.28.29, 2002</t>
  </si>
  <si>
    <t xml:space="preserve"> Backpack List 2 day 1 night Mt. Keith June 12-13, 2004</t>
  </si>
  <si>
    <t>Sierra West Gortex one-man tent bivy sack--------------------------------------</t>
  </si>
  <si>
    <t>tiny pencil, box-cutter, tiny scissors</t>
  </si>
  <si>
    <t>sewingkit in container</t>
  </si>
  <si>
    <t>small fuel for new msr stove</t>
  </si>
  <si>
    <t>komperdell titanal contour hiking stick/pole orig. strap</t>
  </si>
  <si>
    <t>komperdell titanal contour hiking stick/pole, red web strap</t>
  </si>
  <si>
    <t>empty golite backpack 1lb. 7oz.</t>
  </si>
  <si>
    <t>spare cell battery</t>
  </si>
  <si>
    <t>rino empty battery pack</t>
  </si>
  <si>
    <t>rino rechargable battery</t>
  </si>
  <si>
    <t>rino 530</t>
  </si>
  <si>
    <t>large fuel</t>
  </si>
  <si>
    <t>gloves, black fleecy</t>
  </si>
  <si>
    <t>FLIP-FLOPS</t>
  </si>
  <si>
    <t>BOTTLE JACK</t>
  </si>
  <si>
    <t>TOOTHPASTE</t>
  </si>
  <si>
    <t>TOOTHBRUSH</t>
  </si>
  <si>
    <t>MSR stove, bag</t>
  </si>
  <si>
    <t>TYVEK Homewrap, ground cloth (same size as clear heavy plastic), for SDULCD tent/ rubber bands</t>
  </si>
  <si>
    <t>Balance trail mix energy bar fruit/nut</t>
  </si>
  <si>
    <t xml:space="preserve">        Sunrise                    6:46 a.m.                 </t>
  </si>
  <si>
    <t>nike shoes</t>
  </si>
  <si>
    <t>my orange ground cloth, 2nd cut, for ultra lightyear CD tent, with one big rubber band</t>
  </si>
  <si>
    <t>tent body, SDULCD</t>
  </si>
  <si>
    <t>rain fly, SDULCD</t>
  </si>
  <si>
    <t>front pole (new or old), SDULCD</t>
  </si>
  <si>
    <t>new rear pole, SDULCD</t>
  </si>
  <si>
    <t>7 stakes (6 easton, 1 Alum. Triang.)</t>
  </si>
  <si>
    <t>oz. tent tot. no GC</t>
  </si>
  <si>
    <t>HIGH FIBER</t>
  </si>
  <si>
    <t>HIGH ENERGY</t>
  </si>
  <si>
    <t>HIGH ENERGY, HIGH FAT</t>
  </si>
  <si>
    <t>CLIF Carrot Cake Bar</t>
  </si>
  <si>
    <t>ZONE Perfect Lemon Yogurt Nutrition Bar</t>
  </si>
  <si>
    <t xml:space="preserve"> tastes good+</t>
  </si>
  <si>
    <t>taste good-</t>
  </si>
  <si>
    <t>days</t>
  </si>
  <si>
    <t>prot/dy</t>
  </si>
  <si>
    <t>cal/dy</t>
  </si>
  <si>
    <t>spf 25 aloe sunblock &amp; &amp; SPF 50 sunblock &amp; spf 45 chapstick in little polycarbonite pill box</t>
  </si>
  <si>
    <t>15 aspirin, 4 Ibuprofen, 3 vitamins, 3 calcium IN CONTAINER</t>
  </si>
  <si>
    <t>MACADAMIA Nuts, Raw, Trader Joe's</t>
  </si>
  <si>
    <t>TH-&gt;mid lakes</t>
  </si>
  <si>
    <t>mid lakes-&gt;LP Pk.</t>
  </si>
  <si>
    <t>LP Pk-&gt;mid lakes</t>
  </si>
  <si>
    <t>mid lakes-&gt;upper lake outlet</t>
  </si>
  <si>
    <t>upper lake outlet-mallory</t>
  </si>
  <si>
    <t>mallory-&gt;irvine</t>
  </si>
  <si>
    <t>irvine-&gt;upper lake outlet</t>
  </si>
  <si>
    <t>upper lake outlet -&gt; TH</t>
  </si>
  <si>
    <t>2.5 DAY TOTAL</t>
  </si>
  <si>
    <t>EQUIVALENT MILES</t>
  </si>
  <si>
    <t>HIKING CALORIES</t>
  </si>
  <si>
    <t>IDLE CALORIES, 2.5 DAYS*2500 CAL</t>
  </si>
  <si>
    <t>TOTAL CALORIES</t>
  </si>
  <si>
    <t>Total Saturated Fat</t>
  </si>
  <si>
    <t>fib/dy</t>
  </si>
  <si>
    <t>sat fat/dy</t>
  </si>
  <si>
    <t>HIGH ENERGY, HIGH SAT. FAT</t>
  </si>
  <si>
    <t>yet another calorie estimate</t>
  </si>
  <si>
    <t>yet another estimate for 2.5 days calories</t>
  </si>
  <si>
    <t>Calories/ serv.</t>
  </si>
  <si>
    <t>Calories/Gram</t>
  </si>
  <si>
    <t>% Protein /Weight</t>
  </si>
  <si>
    <t>% Carbs/Weight</t>
  </si>
  <si>
    <t>% Fiber/Weight</t>
  </si>
  <si>
    <t>Pistacio Nuts, raw, Trader Joe's</t>
  </si>
  <si>
    <t>calories/gram</t>
  </si>
  <si>
    <t>Carbohydrates</t>
  </si>
  <si>
    <t>Fat</t>
  </si>
  <si>
    <t>Protein</t>
  </si>
  <si>
    <t>Laguna fruit bar, Costco</t>
  </si>
  <si>
    <t>HIGH ENERGY, HIGH FIBER</t>
  </si>
  <si>
    <t>Total Protein</t>
  </si>
  <si>
    <t>Servings</t>
  </si>
  <si>
    <t>compactor trash bag</t>
  </si>
  <si>
    <t>1 carbon fiber snowshoe pole, with new red strap, without bottom half of foam hand grip, trimmed more</t>
  </si>
  <si>
    <t>Total Fat</t>
  </si>
  <si>
    <t>Total Carbs</t>
  </si>
  <si>
    <t>Total Fiber</t>
  </si>
  <si>
    <t>Total Cholest.</t>
  </si>
  <si>
    <t>Fiber G/ Serv.</t>
  </si>
  <si>
    <t>Protein G / Serv.</t>
  </si>
  <si>
    <t>Sugars G / Serv.</t>
  </si>
  <si>
    <t>Carb. G / Serv.</t>
  </si>
  <si>
    <t>Cholest. Mg / Serv.</t>
  </si>
  <si>
    <t>Saturated Fat G / Serv.</t>
  </si>
  <si>
    <t>Fat G / Serv.</t>
  </si>
  <si>
    <t>45-100 g protein/day</t>
  </si>
  <si>
    <t>need:</t>
  </si>
  <si>
    <t>TRASH BAG</t>
  </si>
  <si>
    <t>TIRE INFLATOR/PATCH GOO</t>
  </si>
  <si>
    <t>DUCT TAPE</t>
  </si>
  <si>
    <t>12V BATTERY PACK, YELLOW</t>
  </si>
  <si>
    <t>TRAIL HEAD MAP</t>
  </si>
  <si>
    <t>SECOR</t>
  </si>
  <si>
    <t>2 SPARE TRAIL MAPS</t>
  </si>
  <si>
    <t>BAT TESTER</t>
  </si>
  <si>
    <t>BALACLAVA</t>
  </si>
  <si>
    <t>air matress inflator(2)</t>
  </si>
  <si>
    <t>1 TO 3 12V outlet splitter</t>
  </si>
  <si>
    <t>extra Vitamin/Calcium/Tylenol</t>
  </si>
  <si>
    <r>
      <t xml:space="preserve">300 mg </t>
    </r>
    <r>
      <rPr>
        <b/>
        <sz val="10"/>
        <rFont val="Arial"/>
        <family val="2"/>
      </rPr>
      <t>cholesterol</t>
    </r>
    <r>
      <rPr>
        <sz val="10"/>
        <rFont val="Arial"/>
        <family val="2"/>
      </rPr>
      <t>/day max</t>
    </r>
  </si>
  <si>
    <r>
      <t xml:space="preserve">20-30 g </t>
    </r>
    <r>
      <rPr>
        <b/>
        <sz val="10"/>
        <rFont val="Arial"/>
        <family val="2"/>
      </rPr>
      <t>sat fat</t>
    </r>
    <r>
      <rPr>
        <sz val="10"/>
        <rFont val="Arial"/>
        <family val="0"/>
      </rPr>
      <t xml:space="preserve">/day, </t>
    </r>
    <r>
      <rPr>
        <sz val="10"/>
        <rFont val="Arial"/>
        <family val="2"/>
      </rPr>
      <t>max</t>
    </r>
    <r>
      <rPr>
        <b/>
        <sz val="10"/>
        <rFont val="Arial"/>
        <family val="2"/>
      </rPr>
      <t xml:space="preserve"> </t>
    </r>
    <r>
      <rPr>
        <sz val="10"/>
        <rFont val="Arial"/>
        <family val="2"/>
      </rPr>
      <t>(9-10% of calories)</t>
    </r>
  </si>
  <si>
    <r>
      <t>45-100 g</t>
    </r>
    <r>
      <rPr>
        <b/>
        <sz val="10"/>
        <rFont val="Arial"/>
        <family val="2"/>
      </rPr>
      <t xml:space="preserve"> protein</t>
    </r>
    <r>
      <rPr>
        <sz val="10"/>
        <rFont val="Arial"/>
        <family val="0"/>
      </rPr>
      <t>/day</t>
    </r>
  </si>
  <si>
    <r>
      <t xml:space="preserve">20-35 grams of </t>
    </r>
    <r>
      <rPr>
        <b/>
        <sz val="10"/>
        <color indexed="8"/>
        <rFont val="Arial"/>
        <family val="2"/>
      </rPr>
      <t>fiber</t>
    </r>
    <r>
      <rPr>
        <sz val="10"/>
        <color indexed="8"/>
        <rFont val="Arial"/>
        <family val="2"/>
      </rPr>
      <t xml:space="preserve"> a day (.0125 g/calorie 1.25% * calories)</t>
    </r>
  </si>
  <si>
    <t>ALMONDS</t>
  </si>
  <si>
    <r>
      <t>cholestrol</t>
    </r>
    <r>
      <rPr>
        <sz val="10"/>
        <rFont val="Arial"/>
        <family val="2"/>
      </rPr>
      <t>/day</t>
    </r>
  </si>
  <si>
    <t>Bar, Slimfast Optima Strawberry Cheesecake</t>
  </si>
  <si>
    <t xml:space="preserve"> HIGH FIBER AND PROTEIN</t>
  </si>
  <si>
    <t>avodart/Vitamins/calcium/PSUEDOFED,TYLENOL</t>
  </si>
  <si>
    <t>garmin ETREX GPS w/o batteries, with back cover</t>
  </si>
  <si>
    <t>garmin ETREX GPS case</t>
  </si>
  <si>
    <t>garmin ETREX GPS w/o batteries or back cover</t>
  </si>
  <si>
    <t>ETREX GPS w AA lithium batteries and case, no hard battery cover</t>
  </si>
  <si>
    <t>ETREX GPS w AA alkaline batteries and case</t>
  </si>
  <si>
    <t>ETREX GPS w AA lithium batteries, no case, with hard battery cover</t>
  </si>
  <si>
    <t>garmin rino 530 GPS/radio w/RECHARGABLE batteries</t>
  </si>
  <si>
    <t>garmin rino 530 GPS/radio w/4 LITHIUM AA batteries IN "ALKALINE" BATTERY PACK</t>
  </si>
  <si>
    <t>AUDIOVOX RADIO + ETREX GPS w AA lithium batteries, no case, with hard battery cover</t>
  </si>
  <si>
    <t>&gt;&gt;&gt;</t>
  </si>
  <si>
    <t>AUDIOVOX WALKIE TALKIE FRS RADIO W 4 nImH BATTERIES</t>
  </si>
  <si>
    <t>CARABINER</t>
  </si>
  <si>
    <t>GB</t>
  </si>
  <si>
    <t>AIR MAT. PATCH</t>
  </si>
  <si>
    <t>AIR MAT. INFLATOR</t>
  </si>
  <si>
    <t>times CLAIMED as much capacity as garcia</t>
  </si>
  <si>
    <t>measured capacity ratio vault(measured)/garcia(claimed))</t>
  </si>
  <si>
    <t>Bear Vault</t>
  </si>
  <si>
    <t>Measured Canister Opening Diameter: 7.5 inches 191 mm</t>
  </si>
  <si>
    <t>Weight as delivered: 2 lb, 6.8 oz=1100 gm</t>
  </si>
  <si>
    <t xml:space="preserve">Listed Weight: 2 lb, 7 oz (1106 gm) </t>
  </si>
  <si>
    <t>Listed Dimensions: 8.7 x 12.5 inches (221 x 317 mm)</t>
  </si>
  <si>
    <t xml:space="preserve">Measured Inner Dimensions: 8.4 x 11.5 inches (213 x 292 mm) - canister </t>
  </si>
  <si>
    <t>Measured Outer Circumference: 27.3 inches 693 mm</t>
  </si>
  <si>
    <t>Measured 7.4 x 0.75 inches (188 x 19 mm) - lip for screw-on lid</t>
  </si>
  <si>
    <t>Listed Inner Volume: 380 fluid ounces (11.24 liters)</t>
  </si>
  <si>
    <t>Measured Inner Volume: 384 fluid ounces (11.35 liters)</t>
  </si>
  <si>
    <t>misc. hard candy</t>
  </si>
  <si>
    <t>Mt. Tom, Aug. 20,21 , 2005</t>
  </si>
  <si>
    <t>Koip Pk, Gibbs Pk, July 30-Aug. 1, 2005</t>
  </si>
  <si>
    <t xml:space="preserve">Weight 2 lb 7 oz (1.09 kg) (Listed and tested) </t>
  </si>
  <si>
    <t xml:space="preserve">Outside dimensions 12.5 in (31.75 cm) long by 8.7 in (22.10 cm) diameter (Listed and tested) </t>
  </si>
  <si>
    <t xml:space="preserve">Interior volume 380 fl oz (11.24 L) (Listed and tested), 7 day capacity claimed by manufacturer </t>
  </si>
  <si>
    <t>Interior dimensions (Tested but not listed by manufacturer, approximate):</t>
  </si>
  <si>
    <t>    12 in (30.5 cm) long by 8.3 in (21.1 cm) diameter</t>
  </si>
  <si>
    <t>    Opening diameter 7.25 in (18.41 cm)</t>
  </si>
  <si>
    <t>    Approximate thickness of can wall 0.17 in (0.43 cm)</t>
  </si>
  <si>
    <t>grey cup</t>
  </si>
  <si>
    <t>Sleeping Bag</t>
  </si>
  <si>
    <t>tent poles</t>
  </si>
  <si>
    <t>Tent stakes</t>
  </si>
  <si>
    <t>SDULCD</t>
  </si>
  <si>
    <t>fly</t>
  </si>
  <si>
    <t>body</t>
  </si>
  <si>
    <t>tent fly and body</t>
  </si>
  <si>
    <t>ground cloth for tent</t>
  </si>
  <si>
    <t>eyeglasses, magnifying</t>
  </si>
  <si>
    <t>moonstone</t>
  </si>
  <si>
    <t>watch/compass</t>
  </si>
  <si>
    <t>Tshirt</t>
  </si>
  <si>
    <t>Down VEST</t>
  </si>
  <si>
    <t>excess grams of macadamias</t>
  </si>
  <si>
    <t>total inc. emergency calorie overage, PERCENT</t>
  </si>
  <si>
    <t>----</t>
  </si>
  <si>
    <t>CB or ?</t>
  </si>
  <si>
    <t>final pack</t>
  </si>
  <si>
    <t>glasses</t>
  </si>
  <si>
    <t>wb</t>
  </si>
  <si>
    <t>ursack</t>
  </si>
  <si>
    <t>evazote pad</t>
  </si>
  <si>
    <t>ice box</t>
  </si>
  <si>
    <t>work backpack</t>
  </si>
  <si>
    <t>wallet</t>
  </si>
  <si>
    <t>bcb-&gt;</t>
  </si>
  <si>
    <t>pack-ptp</t>
  </si>
  <si>
    <t>ROLL OF TP</t>
  </si>
  <si>
    <t>total food wrapping, EST</t>
  </si>
  <si>
    <t>total food and wrapping weight</t>
  </si>
  <si>
    <t>total food/gear in pack</t>
  </si>
  <si>
    <t>total food/wrapping</t>
  </si>
  <si>
    <t>mustache scissors</t>
  </si>
  <si>
    <t>light scissors from bike tool kit with shrink tube cover</t>
  </si>
  <si>
    <t>1 lb 10.6 oz</t>
  </si>
  <si>
    <t>RED/BLACK knit hat</t>
  </si>
  <si>
    <t>silite poncho's STUFF SACK (net)</t>
  </si>
  <si>
    <t>silite poncho in stuff sack</t>
  </si>
  <si>
    <t>silite poncho alone</t>
  </si>
  <si>
    <t>2 AA alkaline batteries</t>
  </si>
  <si>
    <t>2 AA Lithium batteries</t>
  </si>
  <si>
    <t/>
  </si>
  <si>
    <t>silite poncho and brown rain leggings</t>
  </si>
  <si>
    <t>ABS bear canister, $77+</t>
  </si>
  <si>
    <t>ft/meter</t>
  </si>
  <si>
    <t>new green pic'n'save GROUND CLOTH for TNF tent</t>
  </si>
  <si>
    <t>total tent, fly , fly guys, poles-in-sack,19 stakes in sack, new green GROUND CLOTH, no straps, no stuff sack, no repair tube</t>
  </si>
  <si>
    <t>blue camp trails packable daypack</t>
  </si>
  <si>
    <t>URSACK kevlar bear bag, 650 c.i.</t>
  </si>
  <si>
    <t>liters/quart</t>
  </si>
  <si>
    <t>calories</t>
  </si>
  <si>
    <t>sunblock and chapstick</t>
  </si>
  <si>
    <t>boots</t>
  </si>
  <si>
    <t>detachable top pocket for Lowe pack</t>
  </si>
  <si>
    <t>Lowe hip belt with big buckle</t>
  </si>
  <si>
    <t>Lowe shoulder straps with sternum strap</t>
  </si>
  <si>
    <t>little gray horizontal stay in middle of lowes pack</t>
  </si>
  <si>
    <t>lowes pack main body with straps and buckles</t>
  </si>
  <si>
    <t>total Lowe's Contour 60+10 hyperlite</t>
  </si>
  <si>
    <t>old brownishgreen day pack</t>
  </si>
  <si>
    <t>Haines string bikini underpants UNDERPANTS</t>
  </si>
  <si>
    <t>Safe Water In-Line Hydration Filter $35 at A16</t>
  </si>
  <si>
    <t>grams each</t>
  </si>
  <si>
    <t>Snow Peak Titanium Tent Stake</t>
  </si>
  <si>
    <t>grams ea.</t>
  </si>
  <si>
    <t>hard sun helmet hat, without 6g strap</t>
  </si>
  <si>
    <t>orig. mosquito hat</t>
  </si>
  <si>
    <t>1 air matress and inflators and patch kits</t>
  </si>
  <si>
    <t>trash bag</t>
  </si>
  <si>
    <t>camera case, hard black zippered</t>
  </si>
  <si>
    <t>camera case</t>
  </si>
  <si>
    <t>8+2TENT STAKES</t>
  </si>
  <si>
    <t>1 GB camera mem</t>
  </si>
  <si>
    <t>Ursack/Liner</t>
  </si>
  <si>
    <t>Odor Barrier bag</t>
  </si>
  <si>
    <t>Mt Goddard, July. 28-30 2006</t>
  </si>
  <si>
    <t>not too bad tasting, but kind of grainy, HIGH SAT. FAT</t>
  </si>
  <si>
    <t>LUNA LEMON ZEST BAR</t>
  </si>
  <si>
    <t>evazote pad in back pad pocket, golite pack</t>
  </si>
  <si>
    <t xml:space="preserve">black Balaclava </t>
  </si>
  <si>
    <t>STUFF SACK for PHD Minimus Down Vest</t>
  </si>
  <si>
    <t>refurbished embroidery scissors (lost)</t>
  </si>
  <si>
    <t>EMPTY "Jet Baz Butane" green container for backpack stove</t>
  </si>
  <si>
    <t>FULL    "Jet Baz Butane" green container for backpack stove</t>
  </si>
  <si>
    <t xml:space="preserve">            "Jet Baz Butane" green container     backpack stove, head alone</t>
  </si>
  <si>
    <t>Tent Weight: 3 lb. 1 oz. (specs)</t>
  </si>
  <si>
    <t>Packaged Tent Weight: 3 lb. 15 oz. (specs)</t>
  </si>
  <si>
    <t>Floor Space: 17.8 sq.ft.</t>
  </si>
  <si>
    <t>Not as light and compact as the Walrus Micro Swift, but a roomier, more comfortable tent (for me), yet only 4 to 5 ounces heavier.</t>
  </si>
  <si>
    <t>Weight right outta the box:</t>
  </si>
  <si>
    <t>Tent/Fly, Poles, all Stakes &amp; Tie/Out Cords</t>
  </si>
  <si>
    <t>3 LBS, 15.5 OZ</t>
  </si>
  <si>
    <t>Tent/Fly, Poles, 2 Easton Monster stakes, 5 Titanium stakes:</t>
  </si>
  <si>
    <t>3 LBS, 11.1 OZ</t>
  </si>
  <si>
    <t>Tent/Fly, Poles, 2 Easton Monster Stakes, 3 Titanium stakes:</t>
  </si>
  <si>
    <t>3 LBS, 10.25 OZ</t>
  </si>
  <si>
    <t>Tent/Fly, Poles, 5 Titanium stakes:</t>
  </si>
  <si>
    <t>3 LBS, 10.15 OZ</t>
  </si>
  <si>
    <t>Tent/Fly, Poles, 7 Titanium stakes:</t>
  </si>
  <si>
    <t>3 LBS, 11 OZ</t>
  </si>
  <si>
    <t>PHD Minimus DOWN VEST , size M, http://www.phdesigns.co.uk 82.39 GBP=$127.960 US, delivered, advertised 250g for Large</t>
  </si>
  <si>
    <t>Minium Tent Weight (without any stakes) and incidentally, this is the weight that Backpacker Magazine uses (they say 3,6):</t>
  </si>
  <si>
    <t>3 LBS, 8 OZ</t>
  </si>
  <si>
    <t>Kelty Clark Tent</t>
  </si>
  <si>
    <t>Sierra Designs Ultra Light Year CD Tent</t>
  </si>
  <si>
    <t>Fastpack Weight: 1 lb. 12 oz.              Internal Space:  20 sq. ft</t>
  </si>
  <si>
    <t>Timex Ironman Indiglo watch with 30 lap stopwatch, new velcro strap</t>
  </si>
  <si>
    <t>Timex cheap little water resistant black watch, "module 526"</t>
  </si>
  <si>
    <t>Packed Weight: 3 lbs. 2 oz. (advertised)</t>
  </si>
  <si>
    <t>20-35 grams of dietary fiber a day</t>
  </si>
  <si>
    <t>2 ea poles in 10 pieces, for gotext bivy Sierra West</t>
  </si>
  <si>
    <t>BLACK trowel WITH ORANGE TIP</t>
  </si>
  <si>
    <t>BLACK trowel WITHOUT orange tip</t>
  </si>
  <si>
    <t>plastic pants</t>
  </si>
  <si>
    <t>water bladder with tubes &amp; string</t>
  </si>
  <si>
    <t>BearVault Model BV100 body</t>
  </si>
  <si>
    <t>new little nail scissors, with shrink tube cover</t>
  </si>
  <si>
    <t>Sierra Designs Ultra LightYear CD tent</t>
  </si>
  <si>
    <t>2 guy lines, black, ~2mm, 49" each</t>
  </si>
  <si>
    <t>7 Alum. Tent stakes</t>
  </si>
  <si>
    <t>oz each stake</t>
  </si>
  <si>
    <t>total as delivered, advertised:</t>
  </si>
  <si>
    <t>50 oz.</t>
  </si>
  <si>
    <t>2 bales for carbon fiber snowshoe poles</t>
  </si>
  <si>
    <t xml:space="preserve">2 tip covers for carbon fiber snowshoe poles </t>
  </si>
  <si>
    <t>g each</t>
  </si>
  <si>
    <t xml:space="preserve">1 carbon fiber snowshoe pole, with strap </t>
  </si>
  <si>
    <t>new one man is 11 oz more than old</t>
  </si>
  <si>
    <t>minolta f100 camera</t>
  </si>
  <si>
    <t>2 AA lithiums</t>
  </si>
  <si>
    <t>CR-V3 lithium</t>
  </si>
  <si>
    <t>2 nimh AA's</t>
  </si>
  <si>
    <t>memory (128mb)</t>
  </si>
  <si>
    <t>camera with memory, 2xAA lithiums</t>
  </si>
  <si>
    <t>camera / memory / CR-V3 battery</t>
  </si>
  <si>
    <t>advertised 44" wide, 113" long, 38" high</t>
  </si>
  <si>
    <t xml:space="preserve"> Tyvek housewrap</t>
  </si>
  <si>
    <t>Silnylon - competes with tyvek</t>
  </si>
  <si>
    <t>shirt, golite T grn/white</t>
  </si>
  <si>
    <t xml:space="preserve">hat, green nylon </t>
  </si>
  <si>
    <t>camera with memory, no battery, exactly as advertised (185g w/o bat. Or memory)</t>
  </si>
  <si>
    <t>TNF "LIGHTSPEED LONG" tent</t>
  </si>
  <si>
    <t>13 easton stakes, poles, tent, fly, ground cloth, for comparison to SD ultra lightyear CD</t>
  </si>
  <si>
    <t>TNF poles alone</t>
  </si>
  <si>
    <t>LIGHTSPEED LONG TNF TENT , NO SACKS, 13 easton stakes, poles, tent, fly, ground cloth, for comparison to SD ultra lightyear CD</t>
  </si>
  <si>
    <t>thicker black gloves from REI</t>
  </si>
  <si>
    <t>Gramicci  quick-dry pants</t>
  </si>
  <si>
    <t>trimmed gramicci's and black silky Brookes shorts</t>
  </si>
  <si>
    <t>columbia zipoffs + string bikini underwear</t>
  </si>
  <si>
    <t>nimh recharger and car plug</t>
  </si>
  <si>
    <t>total cal</t>
  </si>
  <si>
    <t>~15 spare AAA alkaline batteries</t>
  </si>
  <si>
    <t>4 spare AAA lithium batteries</t>
  </si>
  <si>
    <t>2 spare AA alkalines</t>
  </si>
  <si>
    <t>2 spare AA lithium batteries</t>
  </si>
  <si>
    <t>AVY BEACON</t>
  </si>
  <si>
    <t>for avy beacon - replace alkalines</t>
  </si>
  <si>
    <t>AVY BEACON with 3 aaa lithiums</t>
  </si>
  <si>
    <t>polyester/lycra black GLOVES</t>
  </si>
  <si>
    <t>Paper towels blue, 5</t>
  </si>
  <si>
    <t>Stake Bag</t>
  </si>
  <si>
    <t>13 tent stakes,pole repair aluminum tube,Stake Bag</t>
  </si>
  <si>
    <t>pole bag</t>
  </si>
  <si>
    <t>little pole</t>
  </si>
  <si>
    <t>big pole</t>
  </si>
  <si>
    <t>2 poles and bag</t>
  </si>
  <si>
    <t>fly with ropes and buckles</t>
  </si>
  <si>
    <t>4 detachable straps and buckles on fly</t>
  </si>
  <si>
    <t>3 fly guy-ropes with s with plastic tighteners</t>
  </si>
  <si>
    <t>3 fly guy-rope plastic tighteners</t>
  </si>
  <si>
    <t>fly without ropes or buckles</t>
  </si>
  <si>
    <t>240+317+757+915+55=2284g=5.0353lb=5lb+0.56oz for 13 original stakes and</t>
  </si>
  <si>
    <t>original guy-ropes and fly straps attached,</t>
  </si>
  <si>
    <t>lightweight T-shirt</t>
  </si>
  <si>
    <t>TNF rain fly, with 3 long thin red braided nylon guys</t>
  </si>
  <si>
    <t>3 triangle stakes from A16 store</t>
  </si>
  <si>
    <t>fish scale</t>
  </si>
  <si>
    <t>postal scale</t>
  </si>
  <si>
    <t>gm</t>
  </si>
  <si>
    <t>thermasilk black long sleeved undershirt</t>
  </si>
  <si>
    <t>thermasilk black long underpants</t>
  </si>
  <si>
    <t>Columbia Long Sleeved tan shirt with vents</t>
  </si>
  <si>
    <t>purple/grey knit hat</t>
  </si>
  <si>
    <t>light polo shirt, blue pattern</t>
  </si>
  <si>
    <t>new dark grey knit hat</t>
  </si>
  <si>
    <t>silk paisley green&amp;blue UNDERPANTS</t>
  </si>
  <si>
    <t>red silk shorts</t>
  </si>
  <si>
    <t>green/blue silk shorts</t>
  </si>
  <si>
    <t>dilbert shorts</t>
  </si>
  <si>
    <t>piggie shorts</t>
  </si>
  <si>
    <t>XL cotton underpants</t>
  </si>
  <si>
    <t>clear bifocal glasses</t>
  </si>
  <si>
    <t>grnd clth 2 sheets 1-mil 5' x 10'</t>
  </si>
  <si>
    <t>moonstone s-bag stuff sack</t>
  </si>
  <si>
    <t>1 lb 14 oz</t>
  </si>
  <si>
    <t>oz. Fill</t>
  </si>
  <si>
    <t>JPL Bike Jacket</t>
  </si>
  <si>
    <t>Red Nylon Jacket with Hood</t>
  </si>
  <si>
    <t>bag+packet=20g, replace with qt freezer bag = 5g , save 15g</t>
  </si>
  <si>
    <t xml:space="preserve"> Stanford Morgan, June 11-12, 2005  Backpack List 1.5 day 1 night</t>
  </si>
  <si>
    <t>Calories serv.</t>
  </si>
  <si>
    <t>Serving Size G</t>
  </si>
  <si>
    <t>Fat G Serv</t>
  </si>
  <si>
    <t>Strtd Fat G Serv</t>
  </si>
  <si>
    <t>Chlst Mg Serv</t>
  </si>
  <si>
    <t>Carb G Serv</t>
  </si>
  <si>
    <t>Sugars G Serv</t>
  </si>
  <si>
    <t>Protein G Serv</t>
  </si>
  <si>
    <t>Fiber G Serv</t>
  </si>
  <si>
    <t>Clries/G</t>
  </si>
  <si>
    <t>%Fat/Clries</t>
  </si>
  <si>
    <t>%SatFat/Clries</t>
  </si>
  <si>
    <t>Cookies, Chocolate covered with orange filling  Pims</t>
  </si>
  <si>
    <t>Cookies, Milano Mini Mint Pepperidge Farm</t>
  </si>
  <si>
    <t>Atkins Advantage carb control lemon cheesecake Bar</t>
  </si>
  <si>
    <t>HIGH SAT. FAT, HIGH  PROTEIN - tastes good</t>
  </si>
  <si>
    <t>Hersheys bar smart zone lemon flavor</t>
  </si>
  <si>
    <t>HIGH  PROTEIN - tastes good</t>
  </si>
  <si>
    <t>ALMONDS, TJ's organic dry roasted no salt</t>
  </si>
  <si>
    <t xml:space="preserve">ALMONDS, TJ's dry roasted no salt organic </t>
  </si>
  <si>
    <t>%Protein/Calories</t>
  </si>
  <si>
    <t>food containers</t>
  </si>
  <si>
    <t>total food in containers</t>
  </si>
  <si>
    <t>candy marshmallow  peanuts</t>
  </si>
  <si>
    <t>butterscotch hard candy</t>
  </si>
  <si>
    <t>battery spare PX28Llithium  for black diamond 2-LED headlamp</t>
  </si>
  <si>
    <t>total stove/fuel</t>
  </si>
  <si>
    <t>battery spare Llithium  for 2-LED headlamp</t>
  </si>
  <si>
    <t>TNF TENT BODY, TOTAL w/gc 5LB 2 OZ</t>
  </si>
  <si>
    <t>2-way adapter for 12v lighter socket</t>
  </si>
  <si>
    <t>small yellow Performance brand jacket, no pockets. Mesh vents in armpits and down the inside of the sleeves</t>
  </si>
  <si>
    <t>sawmill pass</t>
  </si>
  <si>
    <t>long black polyester thermal underpants</t>
  </si>
  <si>
    <t>4 spare batteries AAA lith</t>
  </si>
  <si>
    <t>S-BAGS</t>
  </si>
  <si>
    <t>PADS</t>
  </si>
  <si>
    <t>PILLOW</t>
  </si>
  <si>
    <t>Calif. Map Books</t>
  </si>
  <si>
    <t>2 ALARM CLOCKs</t>
  </si>
  <si>
    <t>GARAGE</t>
  </si>
  <si>
    <t>-</t>
  </si>
  <si>
    <t>SHOVEL</t>
  </si>
  <si>
    <t>HYDRAULIC JACK</t>
  </si>
  <si>
    <t>TIRE REPAIR KIT</t>
  </si>
  <si>
    <t>map/directions/baggie</t>
  </si>
  <si>
    <t>PK</t>
  </si>
  <si>
    <t>3 sudafed,11 P 111,11 P1, plilbox</t>
  </si>
  <si>
    <t>YELLOW FLASHLIGHT</t>
  </si>
  <si>
    <t>TRASH BAGS</t>
  </si>
  <si>
    <t>Down, moonstone</t>
  </si>
  <si>
    <t>TRASH compactor BAG</t>
  </si>
  <si>
    <t>Mt Kaweah, Sept. 9-11, 2005</t>
  </si>
  <si>
    <t>1 QT bottle</t>
  </si>
  <si>
    <t>wilderness permit/reservation</t>
  </si>
  <si>
    <t>Mineral King RS Phone 559-565-3768</t>
  </si>
  <si>
    <t>GUY LINES</t>
  </si>
  <si>
    <t>8 nimh aaa batteries</t>
  </si>
  <si>
    <t xml:space="preserve">CAR </t>
  </si>
  <si>
    <t>TOOLS - ORANGE BOX</t>
  </si>
  <si>
    <t>GAR</t>
  </si>
  <si>
    <t>TOOLS - SOCK/WRENCH</t>
  </si>
  <si>
    <t>running shirt</t>
  </si>
  <si>
    <t>WAX STRING</t>
  </si>
  <si>
    <t>SPLITTERS, 2</t>
  </si>
  <si>
    <t>CAR/CB</t>
  </si>
  <si>
    <t>TOW STRAP</t>
  </si>
  <si>
    <t>BLU PAPER TOWELS</t>
  </si>
  <si>
    <t>CAMERA/BAT</t>
  </si>
  <si>
    <t>BLACK NEOPRENE CASE</t>
  </si>
  <si>
    <t>CAMERA CASE</t>
  </si>
  <si>
    <t>AA LITH</t>
  </si>
  <si>
    <t xml:space="preserve"> -----</t>
  </si>
  <si>
    <t>NIMH CHARGER</t>
  </si>
  <si>
    <t>ICE BOX, for BearVault</t>
  </si>
  <si>
    <t>ICE BOX, TRAVELING</t>
  </si>
  <si>
    <t>12 nimh aaa batteries</t>
  </si>
  <si>
    <t>2 t-shirts</t>
  </si>
  <si>
    <t>running shorts, brookes</t>
  </si>
  <si>
    <t>2 laundry bags</t>
  </si>
  <si>
    <t>3 underpants</t>
  </si>
  <si>
    <t>5 pr sox</t>
  </si>
  <si>
    <t>shorts, blue sportif</t>
  </si>
  <si>
    <t>spare straps for backpack</t>
  </si>
  <si>
    <t>5'x10' tyvek ground cover</t>
  </si>
  <si>
    <t>bag of rubber bands</t>
  </si>
  <si>
    <t xml:space="preserve">water bottles                                                        </t>
  </si>
  <si>
    <t xml:space="preserve">TP, 42 sheets, in baggie                                      </t>
  </si>
  <si>
    <t xml:space="preserve">topo map                                                             </t>
  </si>
  <si>
    <t xml:space="preserve">GPS with &amp; case, no hard back                         </t>
  </si>
  <si>
    <t xml:space="preserve">/  lithium batteries                                             </t>
  </si>
  <si>
    <t xml:space="preserve">space blanket, in a baggie                                </t>
  </si>
  <si>
    <t>calories for protein/fat/carbs</t>
  </si>
  <si>
    <r>
      <t>cholestrol</t>
    </r>
    <r>
      <rPr>
        <sz val="9"/>
        <rFont val="Arial"/>
        <family val="2"/>
      </rPr>
      <t>/day</t>
    </r>
  </si>
  <si>
    <r>
      <t>fiber</t>
    </r>
    <r>
      <rPr>
        <sz val="10"/>
        <rFont val="Arial"/>
        <family val="0"/>
      </rPr>
      <t>/day</t>
    </r>
  </si>
  <si>
    <t>vitamin/calcium,avodart</t>
  </si>
  <si>
    <t>4 each, 2 avodart, pillbox</t>
  </si>
  <si>
    <t>shirt, green with white mesh vents on side, golite cthru, medium</t>
  </si>
  <si>
    <t>LED headlamp light</t>
  </si>
  <si>
    <t>aurora 3 led headlamp with 3 AAA alk. Batteries and old black head band</t>
  </si>
  <si>
    <t>aurora 3 led headlamp with 3 AAA alk. Batteries and new white head band</t>
  </si>
  <si>
    <t>small piece of soap</t>
  </si>
  <si>
    <t>cal./g.</t>
  </si>
  <si>
    <t>6 fruit bars</t>
  </si>
  <si>
    <t>pineapple</t>
  </si>
  <si>
    <t>soy nuts</t>
  </si>
  <si>
    <t>pine nuts</t>
  </si>
  <si>
    <t>pecans</t>
  </si>
  <si>
    <t>almonds</t>
  </si>
  <si>
    <t>sunflower seeds</t>
  </si>
  <si>
    <t>cahsews</t>
  </si>
  <si>
    <t>lightweight, fragile plastic cup, estimate</t>
  </si>
  <si>
    <t>trail runner shoes</t>
  </si>
  <si>
    <t>pillows</t>
  </si>
  <si>
    <t>2 cotton s-bags and kittie blanket</t>
  </si>
  <si>
    <t>tow strap hydraulic jack fuses tissue tire repair. in stowage</t>
  </si>
  <si>
    <t>tools, 2 boxes</t>
  </si>
  <si>
    <t>air pump, electric</t>
  </si>
  <si>
    <r>
      <t>GoLite Speed</t>
    </r>
    <r>
      <rPr>
        <sz val="10"/>
        <rFont val="Arial"/>
        <family val="0"/>
      </rPr>
      <t xml:space="preserve"> backpack (with new shoulder pads, and belt trimmed) 1lb. 7oz.</t>
    </r>
  </si>
  <si>
    <t>GL Trek Pack</t>
  </si>
  <si>
    <t>GLTP top pocket</t>
  </si>
  <si>
    <t>GLTP foam pad</t>
  </si>
  <si>
    <t>my SDULCD tent total is  3.20 lb.</t>
  </si>
  <si>
    <t>Fritz Coleman tent and GC about  3.62 lb.</t>
  </si>
  <si>
    <t>TOTAL WEAR</t>
  </si>
  <si>
    <t>Wilderness Permit</t>
  </si>
  <si>
    <t>Whstle Scssrs Pncil Comb Elastic</t>
  </si>
  <si>
    <t xml:space="preserve">String KnifeTweezers Light Battery Tape </t>
  </si>
  <si>
    <t>wilderness permit reservation</t>
  </si>
  <si>
    <t>Rino</t>
  </si>
  <si>
    <t>target</t>
  </si>
  <si>
    <t>total inc. emergency calorie goal</t>
  </si>
  <si>
    <t>total inc. emergency calorie shortage</t>
  </si>
  <si>
    <t>emergency calories only goal</t>
  </si>
  <si>
    <t>emergency calories only shortage</t>
  </si>
  <si>
    <t>weekender bear vault is  1.94 lb. 240 fluid oz. = 433 cubic inch capacity</t>
  </si>
  <si>
    <t>big bear vault is              2.36 lb  377 fl. oz.     = 680 c.i.</t>
  </si>
  <si>
    <t>target calories</t>
  </si>
  <si>
    <t>balanced calorie shortage</t>
  </si>
  <si>
    <t>spf 25 aloe sunblock &amp; SPF 50 sunblock &amp; spf 45 chapstick in little polycarbonite pill box</t>
  </si>
  <si>
    <t>orange whistle</t>
  </si>
  <si>
    <t>spare 16mb &amp; 128 mb memory for camera, in clear plastic case</t>
  </si>
  <si>
    <t>LED Headlamp, Petzl Tikka Plus advertised 42 g - Correct</t>
  </si>
  <si>
    <t>Aurora 3 LED Headlamp with NO Batteries/ Black Princeton Headband</t>
  </si>
  <si>
    <t>34-35 g</t>
  </si>
  <si>
    <t>LED Headlamp, Petzl Tikka Plus with 3 AAA Alkalines, advertised 78 g - Correct</t>
  </si>
  <si>
    <t>100 oz (3 liter) platypus bladder with ziplock top, alone</t>
  </si>
  <si>
    <t>100 oz (3 liter) platypus bladder without clip, with complete cap/tube/valve</t>
  </si>
  <si>
    <t>100 oz (3 liter) platypus bladder with clip and complete cap/tube/valve, advertised 120g</t>
  </si>
  <si>
    <t>100 oz (3 liter) platypus bladder body alone</t>
  </si>
  <si>
    <t>100 oz (3 liter) platypus cap/tube/valve only (valve 6, cap screw 4, tube and cap 53</t>
  </si>
  <si>
    <t>thermarest prolite 3 S   20"x47" advertised 370g</t>
  </si>
  <si>
    <t>thermarest prolite 47" AND trimmed 49" evazote pad together</t>
  </si>
  <si>
    <t>camera / memory / CR-V3 battery, with rubber band switch lock and spare band</t>
  </si>
  <si>
    <t>Sears sleepwear silk bikini underpants UNDERPANTS, spare</t>
  </si>
  <si>
    <t>black polyester longsleeve thermal undershirt</t>
  </si>
  <si>
    <t>blue jansport daypack</t>
  </si>
  <si>
    <t>2 cotton s-bags</t>
  </si>
  <si>
    <t>paper towels/glass cleaner</t>
  </si>
  <si>
    <t>tow strap , hydraulic jack</t>
  </si>
  <si>
    <t>calories consumed on Baxter trip   6400</t>
  </si>
  <si>
    <t>duct tape</t>
  </si>
  <si>
    <t>2 oz of 151</t>
  </si>
  <si>
    <t>cutter's insect repel stick</t>
  </si>
  <si>
    <t>food bags</t>
  </si>
  <si>
    <t>Titanium Ice Axe &amp; strap, &amp; pick &amp; point covers</t>
  </si>
  <si>
    <t>peanutbutter crackers</t>
  </si>
  <si>
    <t>rice krispie marshmallow bar</t>
  </si>
  <si>
    <t>food, 8 baggies</t>
  </si>
  <si>
    <t>poncho, baggie, 2 yds elastic</t>
  </si>
  <si>
    <t>tp</t>
  </si>
  <si>
    <t>paper towels</t>
  </si>
  <si>
    <t>soap</t>
  </si>
  <si>
    <t>total UNUSED</t>
  </si>
  <si>
    <t>UNUSED at end of trip</t>
  </si>
  <si>
    <t>NOT TAKEN</t>
  </si>
  <si>
    <t>1lb 12.68 oz, advertised to be 1LB 12 oz, 30x71 inches, fill 396 grams</t>
  </si>
  <si>
    <t>prs white socks, WEAR</t>
  </si>
  <si>
    <t>liner socks, 2 PR</t>
  </si>
  <si>
    <t>WEAR</t>
  </si>
  <si>
    <t>underpants, silk</t>
  </si>
  <si>
    <t>black silk LONG underpants</t>
  </si>
  <si>
    <t>black silk LONGSLEEVE undershirt</t>
  </si>
  <si>
    <t>waxed string, 40 yds</t>
  </si>
  <si>
    <t>NYLON STRING</t>
  </si>
  <si>
    <t>BLACK WAXED STRING</t>
  </si>
  <si>
    <t>15 aspirin, 1 vitamin, 1 calcium</t>
  </si>
  <si>
    <t>pair white socks, spare</t>
  </si>
  <si>
    <t>spf 45 chapstick</t>
  </si>
  <si>
    <t>North Face warm Polyester SHIRT</t>
  </si>
  <si>
    <t>fraction of original food unused</t>
  </si>
  <si>
    <t>used about 5400 calories in 1.75 days</t>
  </si>
  <si>
    <t>LEFTOVERS</t>
  </si>
  <si>
    <t>empty backpack (with new shoulder pads) 1lb. 7oz.</t>
  </si>
  <si>
    <t>BearVault new lid</t>
  </si>
  <si>
    <t>BearVault old lid</t>
  </si>
  <si>
    <t>BearVault Model BV100  body</t>
  </si>
  <si>
    <t>BearVault Model BV100s my measurements with old lid  377 fl. oz. $80</t>
  </si>
  <si>
    <t>Petzl Helmet</t>
  </si>
  <si>
    <t>advertized</t>
  </si>
  <si>
    <t>one oz. Of fraud</t>
  </si>
  <si>
    <t>liquid soap , in container</t>
  </si>
  <si>
    <t>PANTS, green Gramicci  quick-dry after trimming</t>
  </si>
  <si>
    <t>PANTS, green Gramicci  quick-dry</t>
  </si>
  <si>
    <t>AA LITH, hard case</t>
  </si>
  <si>
    <t>Evazote Foam Sleep Pad TRIMMED</t>
  </si>
  <si>
    <t>Jacket, pullover, Marmot celery green</t>
  </si>
  <si>
    <t>18 Stakes, pole Repair Tube, Blue Bag</t>
  </si>
  <si>
    <t>komperdell hiking stick/pole, red web strap</t>
  </si>
  <si>
    <t>komperdell hiking stick/pole orig. strap</t>
  </si>
  <si>
    <t>GPS AA lithium, case, battery cover</t>
  </si>
  <si>
    <t>Sierra West Gortex one-man tent bivy sack Alone</t>
  </si>
  <si>
    <t>Sierra West stuff sack for one-man tent bivy sack</t>
  </si>
  <si>
    <t>Sierra West Gortex one-man tent bivy sack TOTAL</t>
  </si>
  <si>
    <t>jerkey</t>
  </si>
  <si>
    <t>peanutbutter/honey sandwich</t>
  </si>
  <si>
    <t>vitamins</t>
  </si>
  <si>
    <t>titanium spoon</t>
  </si>
  <si>
    <t>band aids</t>
  </si>
  <si>
    <t>LED mini light</t>
  </si>
  <si>
    <t>sleep aid</t>
  </si>
  <si>
    <t>tooth brush</t>
  </si>
  <si>
    <t>clear glasses</t>
  </si>
  <si>
    <t>sun glasses</t>
  </si>
  <si>
    <t>modified mosquito hat with wax string</t>
  </si>
  <si>
    <t>mod mosquito hat with string</t>
  </si>
  <si>
    <t>cola - caf-free can</t>
  </si>
  <si>
    <t>blue camp-7 daypack</t>
  </si>
  <si>
    <t>El Rancho Motel</t>
  </si>
  <si>
    <t>274 Lagoon St</t>
  </si>
  <si>
    <t>Bishop, CA 93514</t>
  </si>
  <si>
    <t xml:space="preserve">Phone: 760 872-9251 </t>
  </si>
  <si>
    <t>Thursday night 2 people 2 beds $58, room 215???</t>
  </si>
  <si>
    <t>512 MB CAMERA MEMORY</t>
  </si>
  <si>
    <t>SHIRT, BLUE SILK</t>
  </si>
  <si>
    <t>SPACE BLANKET</t>
  </si>
  <si>
    <t xml:space="preserve">hiking pole, </t>
  </si>
  <si>
    <t>SU=sudafed-sinus headache</t>
  </si>
  <si>
    <t>P111=l976=Tylenol=Acetaminophen</t>
  </si>
  <si>
    <t xml:space="preserve">      may cause drowsiness</t>
  </si>
  <si>
    <r>
      <t>P1=</t>
    </r>
    <r>
      <rPr>
        <sz val="12"/>
        <color indexed="8"/>
        <rFont val="Times New Roman"/>
        <family val="1"/>
      </rPr>
      <t>Ibuprofen-pain, arthritis,  may cause drowsiness</t>
    </r>
  </si>
  <si>
    <t>vitamins calcium avodart</t>
  </si>
  <si>
    <t>running shorts</t>
  </si>
  <si>
    <t>SPARE TIRE</t>
  </si>
  <si>
    <t>4 nimh aaa batteries</t>
  </si>
  <si>
    <t>EXTRA STRING FOR ROOF PEAK</t>
  </si>
  <si>
    <t>INSECT REPELLANT</t>
  </si>
  <si>
    <t>CAMERA/ OLDBAT</t>
  </si>
  <si>
    <t>NEW CAMERA BAT</t>
  </si>
  <si>
    <t>tooth brush/paste, baggies</t>
  </si>
  <si>
    <t>CAR TOOTHPASTE</t>
  </si>
  <si>
    <t>LITH BATS FOR GPS</t>
  </si>
  <si>
    <t>total food taken</t>
  </si>
  <si>
    <t>total leftover</t>
  </si>
  <si>
    <t>actual consumption</t>
  </si>
  <si>
    <t>calories actuall  consumed per day</t>
  </si>
  <si>
    <t>1-3</t>
  </si>
  <si>
    <t>calories consumed on birch trip   4617</t>
  </si>
  <si>
    <t>Vasque Boot, right, no lace</t>
  </si>
  <si>
    <t>Vasque Boot, left , no lace</t>
  </si>
  <si>
    <t>Merrell Boot Pair</t>
  </si>
  <si>
    <t>Vasque Boot Pair</t>
  </si>
  <si>
    <t>TWO cheap Vasque Boot laces 72", with tips</t>
  </si>
  <si>
    <t>total, pair vasque boots and cheap laces</t>
  </si>
  <si>
    <t>Black Diamond gold and Al carabiner</t>
  </si>
  <si>
    <t>Kong BonaitiItaly old locking carabiner, all Al colored. CЄ042B UIAA KN↔30↕10gate10</t>
  </si>
  <si>
    <t>Razor, toothbrush</t>
  </si>
  <si>
    <t>double bagged</t>
  </si>
  <si>
    <t>twin, ejector, and toothbrush, both cut-off handle</t>
  </si>
  <si>
    <t>toothbrush, red cutoff handle</t>
  </si>
  <si>
    <t>S-BAG</t>
  </si>
  <si>
    <t>2 pr sox</t>
  </si>
  <si>
    <t>2 underpants</t>
  </si>
  <si>
    <t>NAIL CLIPPERS</t>
  </si>
  <si>
    <t>FREEZER BAGS</t>
  </si>
  <si>
    <t>7 ALKALINE  aaa batteries</t>
  </si>
  <si>
    <t>CELL CORD FOR 12V DC</t>
  </si>
  <si>
    <t>DREML, 12V</t>
  </si>
  <si>
    <t>SWAX STRING, SPOOL</t>
  </si>
  <si>
    <t>12V OUTLET SPLITTER 1 TO 2</t>
  </si>
  <si>
    <t>BELT</t>
  </si>
  <si>
    <t>CHAIR</t>
  </si>
  <si>
    <t>TARP AND FIXTURES FOR TRK TENT</t>
  </si>
  <si>
    <t>2 SHOVELS</t>
  </si>
  <si>
    <t>Tow Strap</t>
  </si>
  <si>
    <t>WHERE</t>
  </si>
  <si>
    <t>gram</t>
  </si>
  <si>
    <t>lb.</t>
  </si>
  <si>
    <t>long description</t>
  </si>
  <si>
    <t>short description</t>
  </si>
  <si>
    <t>dried PINEAPPLE Trader joe's</t>
  </si>
  <si>
    <t>body, poles</t>
  </si>
  <si>
    <t>Total for tent, grnd clth, stakes, fly</t>
  </si>
  <si>
    <t>Lb</t>
  </si>
  <si>
    <t>Omega non-locking Carabiner, KN↔23gate6↕8 all Al colored body &amp; gate</t>
  </si>
  <si>
    <t>Omega big locking Carabiner, KN↔22gate8↕10 CЄ0082, green lock, titanium colored body</t>
  </si>
  <si>
    <t>TNF LIGHTSPEED LONG TENT USES 8 STAKES FOR BODY,</t>
  </si>
  <si>
    <t>BOTH POLES, WITH 2 RUBBER BANDS</t>
  </si>
  <si>
    <t>FLY WITH 3 SHINY ROPES</t>
  </si>
  <si>
    <t>ORANGE GROUND CLOTH</t>
  </si>
  <si>
    <t>BOTH POLES, WITH 2 R-BANDS</t>
  </si>
  <si>
    <t>REI plain Oval Biner, no ratings</t>
  </si>
  <si>
    <t>Omega non-locking Carabiner, UIAA KN↔21↕9gate7 all Al colored body &amp; gate, oval</t>
  </si>
  <si>
    <t>Omega non-locking Carabiner, KN↔31gate10↕9 all Al colored body &amp; gate, D-shaped</t>
  </si>
  <si>
    <t>tiny pencil, box-cutter, tiny scissors with tube-cover, rubber bands, lighter, micro-LED-flashlight,sewingkit in container, baggie</t>
  </si>
  <si>
    <t>measured 44"x114" fully stretched on one axis at a time</t>
  </si>
  <si>
    <t>3 AAA lithium Batteries</t>
  </si>
  <si>
    <t>http://www.backpackinglight.com/cgi-bin/backpackinglight/00318.html</t>
  </si>
  <si>
    <t>Capacity (measured): 380 (+/- 0.5%) fl. oz. (11.2 L)</t>
  </si>
  <si>
    <t>stove</t>
  </si>
  <si>
    <t>fuel</t>
  </si>
  <si>
    <t>thermarest</t>
  </si>
  <si>
    <t xml:space="preserve">Deb's down s-bag </t>
  </si>
  <si>
    <t>2 pair liner socks</t>
  </si>
  <si>
    <t>2 pair white socks</t>
  </si>
  <si>
    <t>other thick socks</t>
  </si>
  <si>
    <t>ear plugs</t>
  </si>
  <si>
    <t>rubber gloves</t>
  </si>
  <si>
    <t>spare clothes</t>
  </si>
  <si>
    <t>Weight (measured): 38.8 oz (1.01 kg)</t>
  </si>
  <si>
    <t>Outside Diameter (measured): 8.7 in (22.1 cm)</t>
  </si>
  <si>
    <t>Inside Diameter (measured): 8.5 in (21.6 cm)</t>
  </si>
  <si>
    <t>Length (measured): 12.5 in (31.8 cm)</t>
  </si>
  <si>
    <t>Garcia Backpacker's Cache Model 812 volume-to-weight ratio 7.7 fl. oz. / oz. - Bear Vault 9.7 fl. oz. / oz.</t>
  </si>
  <si>
    <t>hike shirt, columbia beige</t>
  </si>
  <si>
    <t>blue short sleeve shirt</t>
  </si>
  <si>
    <t>thick grey socks</t>
  </si>
  <si>
    <t>sun block stick</t>
  </si>
  <si>
    <t>red plastic cup</t>
  </si>
  <si>
    <t>ski pole, red handle with black strap</t>
  </si>
  <si>
    <t>PHD Minimus DOWN pullover jacket, Hood, and grey GoLite Ether pullover Windshirt,</t>
  </si>
  <si>
    <t>PHD Minimus DOWN pullover jacket, Hood, and Marmot celery green pullover Jacket</t>
  </si>
  <si>
    <r>
      <t xml:space="preserve">Jacket, pullover </t>
    </r>
    <r>
      <rPr>
        <sz val="10"/>
        <color indexed="8"/>
        <rFont val="Arial"/>
        <family val="2"/>
      </rPr>
      <t>grey GoLite Ether Windshirt, Large size, advertised 90 grams</t>
    </r>
  </si>
  <si>
    <t>emergency space blanket</t>
  </si>
  <si>
    <t>AA lithium battery $2.25</t>
  </si>
  <si>
    <t>AA ultra alkaline battery ~$1.10</t>
  </si>
  <si>
    <t>new smaller repair  tube, aluminum</t>
  </si>
  <si>
    <t>loud orange whistle</t>
  </si>
  <si>
    <t>FastTrak Xponder</t>
  </si>
  <si>
    <t>Spare Glasses, clear and dark</t>
  </si>
  <si>
    <t>cheese</t>
  </si>
  <si>
    <t>albertson's swiss for happy hour</t>
  </si>
  <si>
    <t>GoLite Trek</t>
  </si>
  <si>
    <t>cell phone/bat/case/stick</t>
  </si>
  <si>
    <t>plastic emergency key</t>
  </si>
  <si>
    <t>to go into camera</t>
  </si>
  <si>
    <t>twin, ejector, cut-off handle</t>
  </si>
  <si>
    <t>total food/wrapping/water wt</t>
  </si>
  <si>
    <t>sunglasses</t>
  </si>
  <si>
    <t>not enough food</t>
  </si>
  <si>
    <t>tent too small</t>
  </si>
  <si>
    <t>clothing too cold</t>
  </si>
  <si>
    <t>no phone</t>
  </si>
  <si>
    <t>no gps</t>
  </si>
  <si>
    <t>no camera</t>
  </si>
  <si>
    <t>no bear box</t>
  </si>
  <si>
    <t>no thermarest</t>
  </si>
  <si>
    <t>pocket 97 / pad 32 / main 800  / GoLite Trek</t>
  </si>
  <si>
    <t>Balaclava, old black REI</t>
  </si>
  <si>
    <t>Balaclava, new black REI</t>
  </si>
  <si>
    <t>brown knit balaclava</t>
  </si>
  <si>
    <t xml:space="preserve">little loud Orange whistle                                      </t>
  </si>
  <si>
    <t xml:space="preserve">sunblock &amp; chapstick                                          </t>
  </si>
  <si>
    <t xml:space="preserve">pencil, box-cutter, scissors, rubber bands, lighter,  microLEDlight,sewingkit,                                      </t>
  </si>
  <si>
    <t xml:space="preserve">waxed string, 100'                                              </t>
  </si>
  <si>
    <t xml:space="preserve">2 carabiners                                                      </t>
  </si>
  <si>
    <t xml:space="preserve">1 locking carabiner                                             </t>
  </si>
  <si>
    <t>Adidas trail running shoes</t>
  </si>
  <si>
    <t>white/blue running shoes with white laces</t>
  </si>
  <si>
    <t xml:space="preserve">2 personal runners                                             </t>
  </si>
  <si>
    <t xml:space="preserve">1 prusik                                                              </t>
  </si>
  <si>
    <t xml:space="preserve">Al crampons                                                       </t>
  </si>
  <si>
    <t>spf 45 barbie sun block stick</t>
  </si>
  <si>
    <t>oz. Each</t>
  </si>
  <si>
    <t>Leki Adventure AntiSh0ck hiking poles 289+291g</t>
  </si>
  <si>
    <t>sewing kit</t>
  </si>
  <si>
    <t>pencil</t>
  </si>
  <si>
    <t>matches</t>
  </si>
  <si>
    <t>watch</t>
  </si>
  <si>
    <t>blue adidas climalite shirt</t>
  </si>
  <si>
    <t>green, black or blue Brookes running shorts with built-in underwear, no pockets</t>
  </si>
  <si>
    <t>bright yellow nike running shorts with built-in underwear, no pockets</t>
  </si>
  <si>
    <t>compass</t>
  </si>
  <si>
    <t>grams/oz</t>
  </si>
  <si>
    <t>casio databank watch with plastic strap</t>
  </si>
  <si>
    <t>big grey poncho</t>
  </si>
  <si>
    <t>TNF poles in their little sack</t>
  </si>
  <si>
    <t>TNF 13 tent stakes</t>
  </si>
  <si>
    <t>TNF strap, single separate</t>
  </si>
  <si>
    <t>TNF 4"x1/2" al pipe</t>
  </si>
  <si>
    <t>TNF stake sack</t>
  </si>
  <si>
    <t>6 fancy golden easton stakes with white strings and Aluminum heads</t>
  </si>
  <si>
    <t>oz ea</t>
  </si>
  <si>
    <t>7"</t>
  </si>
  <si>
    <t>8.3"</t>
  </si>
  <si>
    <t>3 AAA alk. Batteries</t>
  </si>
  <si>
    <t>pounds</t>
  </si>
  <si>
    <t>Sierra Desings big blue tough tent-------------------------------</t>
  </si>
  <si>
    <t>long pole with top socket</t>
  </si>
  <si>
    <t>short pole with top socket</t>
  </si>
  <si>
    <t>long pole without top socket</t>
  </si>
  <si>
    <t>short pole without top socket</t>
  </si>
  <si>
    <t>---</t>
  </si>
  <si>
    <t>716 total of 4 pole weights</t>
  </si>
  <si>
    <t>all 4 poles weighed together</t>
  </si>
  <si>
    <t>stake bag</t>
  </si>
  <si>
    <t>tent bag</t>
  </si>
  <si>
    <t>tent w/ many ropes</t>
  </si>
  <si>
    <t>fly with many ropes</t>
  </si>
  <si>
    <t>mini spare tire</t>
  </si>
  <si>
    <t>hydraulic jack</t>
  </si>
  <si>
    <t>board</t>
  </si>
  <si>
    <t>Lowe's Contour 60+10 hyperlite just body and shoulder/sternum straps, and extra buckle for hip belt substitute</t>
  </si>
  <si>
    <t>BearVault Model BV250 solo. $64.90 delivered</t>
  </si>
  <si>
    <t>BearVault Model BV250 solo, lid only</t>
  </si>
  <si>
    <t>BearVault Model BV250 solo, body only</t>
  </si>
  <si>
    <t>Jacket, Down pullover black PHD Minimus</t>
  </si>
  <si>
    <t>BearVault Model BV250 solo</t>
  </si>
  <si>
    <t>25 ea. stakes - big variety</t>
  </si>
  <si>
    <t>oz</t>
  </si>
  <si>
    <t>lb</t>
  </si>
  <si>
    <t>2 ea poles in 10 pieces</t>
  </si>
  <si>
    <t>with 6 ea 14g stakes total weight 2.28 lb</t>
  </si>
  <si>
    <t>Hat, Columbia "SPF 30+" light blue cloth</t>
  </si>
  <si>
    <t>calorie goal, TOTAL</t>
  </si>
  <si>
    <t>calorie goal / DAY</t>
  </si>
  <si>
    <t>jerkey, beef mixed</t>
  </si>
  <si>
    <t>Bar, blueberry Trader Joe's cereal bar</t>
  </si>
  <si>
    <t>candy, candy corn, ralphs</t>
  </si>
  <si>
    <t>hard candy,(lemon drops estimate)</t>
  </si>
  <si>
    <t>15 misc Tent stakes/ baggie</t>
  </si>
  <si>
    <t>BearVault solo</t>
  </si>
  <si>
    <t>WINE</t>
  </si>
  <si>
    <t>1 LITRE RED/1 L. WHITE IN 2 ea. 1 L. BOTTLES</t>
  </si>
  <si>
    <t>2 spare batteries AA lith</t>
  </si>
  <si>
    <t>PANTS, zipoff</t>
  </si>
  <si>
    <t>pants, zipoff shorts AND LEGS, beige with elastic cord built-in belt</t>
  </si>
  <si>
    <t>Pot/bowl</t>
  </si>
  <si>
    <t>Pot or Bowl, 1 Qt. Trangia Titanium, no lid</t>
  </si>
  <si>
    <t>2 each, pillbox</t>
  </si>
  <si>
    <t>underpants, SPARE silk bikini</t>
  </si>
  <si>
    <t>white, SPARE</t>
  </si>
  <si>
    <t>GloveS, BLACK</t>
  </si>
  <si>
    <t>SOFT ORANGE IN PILLBOX</t>
  </si>
  <si>
    <t>Mini Cooper Emergency Key</t>
  </si>
  <si>
    <t>bat powered inflator/D-cells</t>
  </si>
  <si>
    <t>bat tester</t>
  </si>
  <si>
    <t>Pecans, halves, Raw, Trader Joe's</t>
  </si>
  <si>
    <t>stove, butane with partially full gas canister</t>
  </si>
  <si>
    <t>spare butane gas canister</t>
  </si>
  <si>
    <t>pot</t>
  </si>
  <si>
    <t>coffee stuff</t>
  </si>
  <si>
    <t>big stove</t>
  </si>
  <si>
    <t>2 butane bottles for big stove</t>
  </si>
  <si>
    <t>cell phones + charger</t>
  </si>
  <si>
    <t>giant tarp</t>
  </si>
  <si>
    <t>poles &amp; corners for truck tent</t>
  </si>
  <si>
    <t>clamps for big tarp tent</t>
  </si>
  <si>
    <t>bungees</t>
  </si>
  <si>
    <t>matresses</t>
  </si>
  <si>
    <t>telescoping handle shovel</t>
  </si>
  <si>
    <t>3  pillows</t>
  </si>
  <si>
    <t>orange trowel/spade</t>
  </si>
  <si>
    <t>Kathy's Directions</t>
  </si>
  <si>
    <t>Signal Mirror 3"x2"</t>
  </si>
  <si>
    <t>FOOD</t>
  </si>
  <si>
    <t>plate</t>
  </si>
  <si>
    <t>waxed string, 98'</t>
  </si>
  <si>
    <t>Cookies, Chocolate covered with rasberry "filling Bahlsen Messino Framboise Rasberry" (look like Pims)</t>
  </si>
  <si>
    <t>LED Headlamp</t>
  </si>
  <si>
    <t>tent guy lines</t>
  </si>
  <si>
    <t>SDUL poles/bands</t>
  </si>
  <si>
    <t>1mm red cord in 4 pieces, 2x~2', 2x~6'</t>
  </si>
  <si>
    <t>Pads/band aids</t>
  </si>
  <si>
    <t>Pad, sterile, 2 each, 3"x4" 1st aid. 5 various band-aids, in baggie</t>
  </si>
  <si>
    <t>ZONE Perfect Strawberry Yogurt Nutrition Bar</t>
  </si>
  <si>
    <t xml:space="preserve"> Backpack List 1.5 day 1 night Birch Mtn., Oct 26,27, 2002</t>
  </si>
  <si>
    <t>calories/day</t>
  </si>
  <si>
    <t>cal/dy target</t>
  </si>
  <si>
    <t>Cereal, Kellogs All Bran</t>
  </si>
  <si>
    <t>silite stuff sack for Harry's S-Bag</t>
  </si>
  <si>
    <t>spare stuff sacks</t>
  </si>
  <si>
    <t>toothpaste</t>
  </si>
  <si>
    <t>Danner boots with laces</t>
  </si>
  <si>
    <t>towel</t>
  </si>
  <si>
    <t>wash cloth</t>
  </si>
  <si>
    <t>plastic bottled juices</t>
  </si>
  <si>
    <t>big dinner pot</t>
  </si>
  <si>
    <t>paper plates</t>
  </si>
  <si>
    <t>GPS with 12 v supply</t>
  </si>
  <si>
    <t xml:space="preserve"> Backpack List 1.5 day 1 night Dinky July 20,21, 2002</t>
  </si>
  <si>
    <t>maps, get from Kathy</t>
  </si>
  <si>
    <t>straps for A16 pack to strap tent on bottom</t>
  </si>
  <si>
    <t>down s-bag</t>
  </si>
  <si>
    <t>laptop</t>
  </si>
  <si>
    <t>car adapter for laptop</t>
  </si>
  <si>
    <t>serial interface cable laptop to GPS</t>
  </si>
  <si>
    <t>books on CD</t>
  </si>
  <si>
    <t>can opener</t>
  </si>
  <si>
    <t>HIGH PROTEIN</t>
  </si>
  <si>
    <t xml:space="preserve">        Friday   </t>
  </si>
  <si>
    <t xml:space="preserve">        27 September 2002     Pacific Daylight Time          </t>
  </si>
  <si>
    <r>
      <t xml:space="preserve">                         </t>
    </r>
    <r>
      <rPr>
        <b/>
        <sz val="10"/>
        <rFont val="Arial Unicode MS"/>
        <family val="2"/>
      </rPr>
      <t>SUN</t>
    </r>
  </si>
  <si>
    <t xml:space="preserve">        Begin civil twilight       6:19 a.m.                 </t>
  </si>
  <si>
    <t xml:space="preserve">        Sunrise                    6:45 a.m.                 </t>
  </si>
  <si>
    <t xml:space="preserve">        Sunset                     6:42 p.m.                 </t>
  </si>
  <si>
    <t xml:space="preserve">        End civil twilight         7:08 p.m.                 </t>
  </si>
  <si>
    <r>
      <t xml:space="preserve">                         </t>
    </r>
    <r>
      <rPr>
        <b/>
        <sz val="10"/>
        <rFont val="Arial Unicode MS"/>
        <family val="2"/>
      </rPr>
      <t>MOON</t>
    </r>
  </si>
  <si>
    <t xml:space="preserve">        Moonset                   12:22 p.m.                 </t>
  </si>
  <si>
    <t xml:space="preserve">        Moonrise                  10:16 p.m.                 </t>
  </si>
  <si>
    <t xml:space="preserve">        Saturday </t>
  </si>
  <si>
    <t xml:space="preserve">        28 September 2002     Pacific Daylight Time          </t>
  </si>
  <si>
    <t xml:space="preserve">        Begin civil twilight       6:20 a.m.                 </t>
  </si>
  <si>
    <t xml:space="preserve">        Sunset                     6:40 p.m.                 </t>
  </si>
  <si>
    <t xml:space="preserve">        End civil twilight         7:06 p.m.                 </t>
  </si>
  <si>
    <t xml:space="preserve">        Moonset                    1:22 p.m.                 </t>
  </si>
  <si>
    <t xml:space="preserve">        Moonrise                  11:02 p.m.                 </t>
  </si>
  <si>
    <t>The following information is provided for Lone Pine, Inyo County, California (longitude W118.1, latitude N36.6):</t>
  </si>
  <si>
    <t xml:space="preserve">        Sunday   </t>
  </si>
  <si>
    <t xml:space="preserve">        Begin civil twilight       6:21 a.m.                 </t>
  </si>
  <si>
    <t>Tax  $5.09</t>
  </si>
  <si>
    <t>120 ft.    New England Tech Cord  $0.53   $63.60</t>
  </si>
  <si>
    <t>shipping  $9.39</t>
  </si>
  <si>
    <t>green box</t>
  </si>
  <si>
    <t>green plastic waterproOf box/ clear top for register container</t>
  </si>
  <si>
    <t>GREEN BOX</t>
  </si>
  <si>
    <t>ZONE Perfect Peach Apricot Parfait Nutrition Bar</t>
  </si>
  <si>
    <t>ZONE Perfect Mango Orange Delight Nutrition Bar</t>
  </si>
  <si>
    <t>9.5"x10" blue foam</t>
  </si>
  <si>
    <t>sit pad</t>
  </si>
  <si>
    <t>GREEN COOLER BAG</t>
  </si>
  <si>
    <t>CCB</t>
  </si>
  <si>
    <t>RINO CAR CHARGER</t>
  </si>
  <si>
    <t>GLP*</t>
  </si>
  <si>
    <t>golite backpack</t>
  </si>
  <si>
    <t>RBB</t>
  </si>
  <si>
    <t>gaiters</t>
  </si>
  <si>
    <t>PACK-M</t>
  </si>
  <si>
    <t>PACK-TP</t>
  </si>
  <si>
    <t>PACK*</t>
  </si>
  <si>
    <t>sewing kit/EYEGLASS REPAIR</t>
  </si>
  <si>
    <t>Whstle Scssrs Pncil</t>
  </si>
  <si>
    <t>SPARE MEMORY</t>
  </si>
  <si>
    <t>PACK-B</t>
  </si>
  <si>
    <t>GLP</t>
  </si>
  <si>
    <t>TROWEL</t>
  </si>
  <si>
    <t>~20 TENT STAKES</t>
  </si>
  <si>
    <t>TOOLS - SOCK/WRENCH BAG</t>
  </si>
  <si>
    <t>Honey Almond BALANCE OUTDOOR All Natural Energy Bar bar</t>
  </si>
  <si>
    <t>grams w/o case</t>
  </si>
  <si>
    <t>HIGH PROTEIN - not too bad but I can get better stuff</t>
  </si>
  <si>
    <t>Kashi GO LEAN oatmeal rasin cookie bar</t>
  </si>
  <si>
    <t>UNNEEDED part of foam hand grip for carbon fiber snowshoe poles</t>
  </si>
  <si>
    <t>1 carbon fiber snowshoe pole, without strap, without bottom half of foam hand grip</t>
  </si>
  <si>
    <t>new red strap for carbon fiber snowshoe pole</t>
  </si>
  <si>
    <t>strap for carbon fiber snowshoe pole, original black/wide</t>
  </si>
  <si>
    <t>19 Tent Stakes (misc) in purple stake sack</t>
  </si>
  <si>
    <t>new ditty bag, black 5x13"?</t>
  </si>
  <si>
    <t>Potable Aqua bttle, new</t>
  </si>
  <si>
    <t>Muskol insect repelent, 1 fl. Oz., plastic bottle</t>
  </si>
  <si>
    <t>light hemostats from bike tool kit</t>
  </si>
  <si>
    <t>little red sharp knife</t>
  </si>
  <si>
    <t>red leatherman scissors tweezers screwdrivers knife nail-file</t>
  </si>
  <si>
    <t>eyeglasses repair kit with little blue screwdriver</t>
  </si>
  <si>
    <t>TRK</t>
  </si>
  <si>
    <t>JUMPER CABLES</t>
  </si>
  <si>
    <t>Sears sleepwear silk bikini underpants UNDERPANTS</t>
  </si>
  <si>
    <t>shampoo</t>
  </si>
  <si>
    <t>PROMAX Bar, Blueberry Cheesecake</t>
  </si>
  <si>
    <t>CLIF Luna Orange Bliss bar</t>
  </si>
  <si>
    <t>HIGH PROTEIN, HIGH SAT. FAT</t>
  </si>
  <si>
    <t>CLIF Luna key lime pie bar</t>
  </si>
  <si>
    <t>very HIGH SAT. FAT, HIGH FIBER AND PROTEIN - Creamy Lemon Chiffon Bar, tastes good, Creamy Berry Cheesecake tastes good</t>
  </si>
  <si>
    <t>cliff apricot bar - not too bad but I can get better stuff</t>
  </si>
  <si>
    <t>TASTES BAD:</t>
  </si>
  <si>
    <t>food IN BAGS</t>
  </si>
  <si>
    <t>JACKET</t>
  </si>
  <si>
    <t xml:space="preserve">Moonrise       5:50 a.m. </t>
  </si>
  <si>
    <t>1 REI "Peak UL" carbon fiber hiking/trekking stick/pole</t>
  </si>
  <si>
    <t xml:space="preserve">PAIR bales for REI "Peak UL" carbon fiber hiking stick/pole, </t>
  </si>
  <si>
    <t>pair of TIP PROTECTORs - REI "Peak UL" carbon fiber hiking stick/pole</t>
  </si>
  <si>
    <t xml:space="preserve">PAIR REI "Peak UL" carbon fiber hiking stick/pole, </t>
  </si>
  <si>
    <t>of advertised weight of 11.2 OZ.</t>
  </si>
  <si>
    <t>15 aspirin, 9 Ibuprofen, 4 vitamins, 4 calcium IN CONTAINER</t>
  </si>
  <si>
    <t>10.8' x 1/4" elastic</t>
  </si>
  <si>
    <t>tooth brush, in baggie</t>
  </si>
  <si>
    <t>glasses, plastic magnifying w case/band</t>
  </si>
  <si>
    <t>OR Gortex black gaiters with velcro</t>
  </si>
  <si>
    <t>2 plastic redundant buckles cut off lowe pack, above shoulder straps</t>
  </si>
  <si>
    <t>kg</t>
  </si>
  <si>
    <t>as I will use it</t>
  </si>
  <si>
    <t>http://www.phdesigns.co.uk/product_info.php?cPath=25_59&amp;products_id=111</t>
  </si>
  <si>
    <t>1G mb camera mem</t>
  </si>
  <si>
    <t>REI Cascade daypack , turquoise / grey with many pockets and bladder holder</t>
  </si>
  <si>
    <t>Down Quality: 800</t>
  </si>
  <si>
    <t>Outer Fabric: M1 Microfibre</t>
  </si>
  <si>
    <r>
      <t>Jacket, Down pullover black PHD Minimus</t>
    </r>
    <r>
      <rPr>
        <sz val="10"/>
        <color indexed="8"/>
        <rFont val="Arial"/>
        <family val="2"/>
      </rPr>
      <t xml:space="preserve"> Medium advertised 320g. </t>
    </r>
  </si>
  <si>
    <t>GoLite Trek Pack, Large</t>
  </si>
  <si>
    <t>ice axe strap</t>
  </si>
  <si>
    <t>detachable top pocket</t>
  </si>
  <si>
    <t>foam pad</t>
  </si>
  <si>
    <t>main body</t>
  </si>
  <si>
    <t>total as delivered</t>
  </si>
  <si>
    <t>1 oz. Less than advertised</t>
  </si>
  <si>
    <t>Main compartment</t>
  </si>
  <si>
    <t>all pockets</t>
  </si>
  <si>
    <t>collar</t>
  </si>
  <si>
    <t>lb. Carrying weight</t>
  </si>
  <si>
    <t>total c.i.</t>
  </si>
  <si>
    <t xml:space="preserve">advertised 2lb, 2oz., </t>
  </si>
  <si>
    <t>Lowe's Contour 60+10 hyperlite Pack</t>
  </si>
  <si>
    <t>1 carbon fiber snowshoe pole, with new red strap, without bottom half of foam hand grip</t>
  </si>
  <si>
    <t>not too bad tasting, but kind of grainy</t>
  </si>
  <si>
    <t>CarboLite Foods "Protein Plus Strawberry"</t>
  </si>
  <si>
    <t>tent poles/GC</t>
  </si>
  <si>
    <t>TNF poles/bands, tyvek ground cloth</t>
  </si>
  <si>
    <t>Tyvek Ground cloth for TNF tent</t>
  </si>
  <si>
    <t>TNF tent</t>
  </si>
  <si>
    <t>Cell phone w/battery, case,stick, tape</t>
  </si>
  <si>
    <t>Bearikade Weekender bear canister $195+, 9" diameter base by 10" length , 650 c.i.</t>
  </si>
  <si>
    <r>
      <t xml:space="preserve">ZONE </t>
    </r>
    <r>
      <rPr>
        <i/>
        <sz val="10"/>
        <rFont val="Arial"/>
        <family val="2"/>
      </rPr>
      <t>Perfect</t>
    </r>
    <r>
      <rPr>
        <sz val="10"/>
        <rFont val="Arial"/>
        <family val="0"/>
      </rPr>
      <t xml:space="preserve"> Apple Cinamon</t>
    </r>
  </si>
  <si>
    <t>Balance complete nutrition energy bar lemon meringue</t>
  </si>
  <si>
    <t>tastes good+</t>
  </si>
  <si>
    <t>DOWN VEST</t>
  </si>
  <si>
    <t>$200 cash, 2 bills</t>
  </si>
  <si>
    <t>truck alarm unlocker</t>
  </si>
  <si>
    <t>cotton s-bag</t>
  </si>
  <si>
    <t>misc baggies and rubber bands</t>
  </si>
  <si>
    <t>platypus water bladder with tubes &amp; string</t>
  </si>
  <si>
    <t>poncho in baggie</t>
  </si>
  <si>
    <t>junky shoes</t>
  </si>
  <si>
    <t>western mountaineering medium size down vest $150 +</t>
  </si>
  <si>
    <t>Bic mini butane lighter, average weight when new</t>
  </si>
  <si>
    <t>adhesive tape, 10 yards x 1/2 inch, waterproof</t>
  </si>
  <si>
    <t>columbia zipoff pants after trimming, with elastic "belt"</t>
  </si>
  <si>
    <t>8 MSR ultralight needle stakes</t>
  </si>
  <si>
    <t>1 MSR ultralight needle stakes</t>
  </si>
  <si>
    <t xml:space="preserve">Helmet                                                               </t>
  </si>
  <si>
    <t xml:space="preserve">harness                                                              </t>
  </si>
  <si>
    <t xml:space="preserve">sit pad                                                                </t>
  </si>
  <si>
    <t xml:space="preserve">fancy compass                                                   </t>
  </si>
  <si>
    <t xml:space="preserve">golite as DAYPACK                                             </t>
  </si>
  <si>
    <t xml:space="preserve">Ushba Altai Titanium Ice Axe                                </t>
  </si>
  <si>
    <t>Snowshoes - Tubbs Altitude 21 International Classic - Women's. advertised at   3 lbs. 2 oz.=50 oz</t>
  </si>
  <si>
    <t>of advertised weight</t>
  </si>
  <si>
    <t>Snowshoes</t>
  </si>
  <si>
    <t>Tubbs Altitude 21 International Classic - Women's</t>
  </si>
  <si>
    <t>columbia women's large zipoff pants before trimming, w/o belt</t>
  </si>
  <si>
    <t xml:space="preserve"> Backpack List 3 day 2 night Mt. Tyndall, Junction Peak July 23 24 25, 2004</t>
  </si>
  <si>
    <t>Black Under Armour "ColdGear" Beanie</t>
  </si>
  <si>
    <t>expected food weight</t>
  </si>
  <si>
    <t>food shortage</t>
  </si>
  <si>
    <t>empty backpack 1lb. 7oz.</t>
  </si>
  <si>
    <t>razor, short handle</t>
  </si>
  <si>
    <t>Brunton compass, clips on to watch band</t>
  </si>
  <si>
    <t>AVY BEACON brief instructions</t>
  </si>
  <si>
    <t>AVY BEACON instructionManual</t>
  </si>
  <si>
    <t>GEORGE CRK DRIVE instructions</t>
  </si>
  <si>
    <t>Aerial Photos</t>
  </si>
  <si>
    <t>lafuma comfort system high-neck fleece SHIRT</t>
  </si>
  <si>
    <t>LED "photon micro-light 3"</t>
  </si>
  <si>
    <t>total food</t>
  </si>
  <si>
    <t>Timex watch</t>
  </si>
  <si>
    <t>total worn</t>
  </si>
  <si>
    <t>Harry, Naked after breakfast</t>
  </si>
  <si>
    <t>total, Harry's wearables and pack</t>
  </si>
  <si>
    <t xml:space="preserve">       * 4030 - 3mm - Black $0.53 per foot</t>
  </si>
  <si>
    <t>The GearShop</t>
  </si>
  <si>
    <t>PO Box 99</t>
  </si>
  <si>
    <t>Boulder Creek, CA 95006</t>
  </si>
  <si>
    <r>
      <t>Hood Down black PHD Minimus</t>
    </r>
    <r>
      <rPr>
        <sz val="10"/>
        <color indexed="8"/>
        <rFont val="Arial"/>
        <family val="2"/>
      </rPr>
      <t>, "drishell" fabric</t>
    </r>
  </si>
  <si>
    <t>STUFF SACK for PHD Minimus Jacket</t>
  </si>
  <si>
    <t>Suunto compass, clips on to watch band, with 0-360 scale</t>
  </si>
  <si>
    <t>big orange space blanket, in a baggie</t>
  </si>
  <si>
    <t>TP, 65 double sheets in baggie</t>
  </si>
  <si>
    <t>poles, 6 stakes, big baggie</t>
  </si>
  <si>
    <t>bivysack,  groundcloth, no sack</t>
  </si>
  <si>
    <t>2 topo maps and directions, in baggie</t>
  </si>
  <si>
    <t>swiss army card scissors</t>
  </si>
  <si>
    <t>1/2 plastic comb</t>
  </si>
  <si>
    <t>swiss army card scissors, with tube cover</t>
  </si>
  <si>
    <t>Mt. Washington Evazote Foam Sleeping Pad TRIMMED to 49" long</t>
  </si>
  <si>
    <t>evazote pad in back pad pocket</t>
  </si>
  <si>
    <t>empty golite backpack 1lb. 7oz., no pad, trimmed off most of helmet holder</t>
  </si>
  <si>
    <t>original golite back pad</t>
  </si>
  <si>
    <t>ridgerest fragment for golite pack back pad pocket</t>
  </si>
  <si>
    <t>Bic mini butane lighter, with rubber band</t>
  </si>
  <si>
    <t>45-100 g per day protein</t>
  </si>
  <si>
    <t>fat cal</t>
  </si>
  <si>
    <t>protein cal</t>
  </si>
  <si>
    <t>carb cal</t>
  </si>
  <si>
    <t>g protein</t>
  </si>
  <si>
    <t>Droste Chocolate bar</t>
  </si>
  <si>
    <t>wheat thins</t>
  </si>
  <si>
    <t>f+p+c cal</t>
  </si>
  <si>
    <t>peanutbutter</t>
  </si>
  <si>
    <t>honey &amp; jelly</t>
  </si>
  <si>
    <t>Milton's bread, Costco</t>
  </si>
  <si>
    <t>dont get "balance Oasis" food bars - ok in a pinch, but a bit too dry</t>
  </si>
  <si>
    <t>sandwich,2 fruit bars,wheat thins,peanutbutter-crackers,rice krispies bars</t>
  </si>
  <si>
    <t>error</t>
  </si>
  <si>
    <t>pct</t>
  </si>
  <si>
    <t>need 45-100 g protein/day</t>
  </si>
  <si>
    <t>Cal.</t>
  </si>
  <si>
    <t>2 rice krisp. marsh. bars</t>
  </si>
  <si>
    <t>% protein</t>
  </si>
  <si>
    <t>% fat</t>
  </si>
  <si>
    <t>% carb</t>
  </si>
  <si>
    <t>SHIRT, golite green cthru</t>
  </si>
  <si>
    <t>Community</t>
  </si>
  <si>
    <t>camera, Fritz</t>
  </si>
  <si>
    <t>camera, Mike</t>
  </si>
  <si>
    <t>wilderness permit</t>
  </si>
  <si>
    <t>total community</t>
  </si>
  <si>
    <t>my share community</t>
  </si>
  <si>
    <t>I need to add to ice axe to carry my share</t>
  </si>
  <si>
    <t>I need to add to ice axe to carry my share of community stuff</t>
  </si>
  <si>
    <t>other juice</t>
  </si>
  <si>
    <t>folding shovel</t>
  </si>
  <si>
    <t>wild. Permit. Take reservation FROM UTILITY BOX &amp; get permit in Lone Pine</t>
  </si>
  <si>
    <t>spf 25 aloe sunblock &amp; spf 45 chapstick in little polycarbonite pill box</t>
  </si>
  <si>
    <t>2 needles threaded with  2 yds double thread &amp; eyeglass repair kit IN CONTAINER</t>
  </si>
  <si>
    <t xml:space="preserve"> Backpack List 3.6 day 3 night Mt. Sill July 6,7,8,9, '02</t>
  </si>
  <si>
    <t>g prot./day</t>
  </si>
  <si>
    <t>grams/lb</t>
  </si>
  <si>
    <t>Rasberry Milano Cookies, Pepperidge Farm</t>
  </si>
  <si>
    <t>Delicous</t>
  </si>
  <si>
    <t>dried PINEAPPLE Trader Joe's</t>
  </si>
  <si>
    <t>tastes good+  HIGH SAT. FAT</t>
  </si>
  <si>
    <t>102" x 62"</t>
  </si>
  <si>
    <t>sq yd</t>
  </si>
  <si>
    <t>stucco wrap tyvek</t>
  </si>
  <si>
    <t>homewrap tyvek</t>
  </si>
  <si>
    <t>gc-w</t>
  </si>
  <si>
    <t>gc-l</t>
  </si>
  <si>
    <t>sq yard</t>
  </si>
  <si>
    <t>tastes good+  HIGH PROTEIN, HIGH SAT. FAT , HIGH CARB</t>
  </si>
  <si>
    <t>tastes good ,  HIGH SAT. FAT</t>
  </si>
  <si>
    <t>tastes good- , HIGH SAT. FAT</t>
  </si>
  <si>
    <t>Cherry Crunch Harvest Power Bar</t>
  </si>
  <si>
    <t>HIGH CARB, HIGH FIBER, LOW FAT, LOW SAT. FAT</t>
  </si>
  <si>
    <t>HIGH FIBER, LOW FAT, LOW SAT. FAT</t>
  </si>
  <si>
    <t>tastes good ,  LOW SAT. FAT , HIGH CARB</t>
  </si>
  <si>
    <t>about the same for apple, mixed berry, or strawberry, LOW FAT, LOW SAT. FAT, LOW PROTEIN</t>
  </si>
  <si>
    <t>, LOW PROTEIN</t>
  </si>
  <si>
    <t>LOW SAT. FAT, LOW PROTEIN</t>
  </si>
  <si>
    <t>very HIGH SAT. FAT, LOW PROTEIN</t>
  </si>
  <si>
    <t>HIGH ENERGY, LOW PROTEIN</t>
  </si>
  <si>
    <t>HIGH ENERGY, HIGH SAT. FAT, LOW PROTEIN</t>
  </si>
  <si>
    <t>HIGH ENERGY, HIGH FAT, LOW PROTEIN</t>
  </si>
  <si>
    <t>8" dia X 12" long,  Weight: 2lbs 6 oz, $100+8.25%+$10</t>
  </si>
  <si>
    <t>tent</t>
  </si>
  <si>
    <t>total</t>
  </si>
  <si>
    <t>knife</t>
  </si>
  <si>
    <t>128% of advertised weight? (3lb 15oz??)</t>
  </si>
  <si>
    <t>2396 above with 8 more stakes for 21 stakes and original guy-ropes and fly</t>
  </si>
  <si>
    <t>straps attached =5.282 lb = 5lb 4.5oz</t>
  </si>
  <si>
    <t>grams</t>
  </si>
  <si>
    <t>lbs</t>
  </si>
  <si>
    <t>old polypropolyne shirt, dark blue</t>
  </si>
  <si>
    <t>old blue down jacket, with hood</t>
  </si>
  <si>
    <t>"hello kitty" whistle, with string</t>
  </si>
  <si>
    <t>Flip-Flops (Sandals)</t>
  </si>
  <si>
    <t>paper towels, 10 small, in baggie</t>
  </si>
  <si>
    <t>New England Tech Cord, 3mm , 3100 lb Minimum Breaking Strength, Nylon jacketed Technora, 121.4'</t>
  </si>
  <si>
    <t>cash</t>
  </si>
  <si>
    <t>grams/ft.</t>
  </si>
  <si>
    <t>tough plastic spoon</t>
  </si>
  <si>
    <t>wild. Permit. Get from Kathy</t>
  </si>
  <si>
    <t>CR-V3 lithium, spare</t>
  </si>
  <si>
    <t>2 AA lithiums, spare</t>
  </si>
  <si>
    <t>ground cloth clear heavy plastic, for SDULCD tent/ rubber band</t>
  </si>
  <si>
    <r>
      <t xml:space="preserve">LED Headlamp, Petzl Tikka Plus , with 3 AAA lithiums, </t>
    </r>
    <r>
      <rPr>
        <b/>
        <sz val="10"/>
        <rFont val="Arial"/>
        <family val="2"/>
      </rPr>
      <t>Black Diamond head-band</t>
    </r>
  </si>
  <si>
    <t>ironman/suunto-clipon</t>
  </si>
  <si>
    <t>BB</t>
  </si>
  <si>
    <t>BR</t>
  </si>
  <si>
    <t>FISH SCALE</t>
  </si>
  <si>
    <t>NIMH CHARGER CORD</t>
  </si>
  <si>
    <t>AURORA HEADLAMP WITH ALKALINES</t>
  </si>
  <si>
    <t>PAD, EVAZOTE</t>
  </si>
  <si>
    <t>toothbrush</t>
  </si>
  <si>
    <t>lightyear CD footprint, sierra designs + 7 easton stakes + front pole + new rear pole + rain fly, NO SACKS, + orange groundcloth, about .8 oz lighter than bivy sack</t>
  </si>
  <si>
    <t>Kool Aid sugar-sweetened mix</t>
  </si>
  <si>
    <t>Bar, Pemmican Fruit &amp; Nut</t>
  </si>
  <si>
    <t>ALMONDS, TJ's dry roasted no salt organic  Costco</t>
  </si>
  <si>
    <t>SFat/Cal</t>
  </si>
  <si>
    <t>% Carb/Cal</t>
  </si>
  <si>
    <t>% Fiber/Wt</t>
  </si>
  <si>
    <t xml:space="preserve">Balaclava </t>
  </si>
  <si>
    <t>black</t>
  </si>
  <si>
    <t>Ursack TKO bear bag</t>
  </si>
  <si>
    <r>
      <t>Rain Jacket, pullover, Marmot celery green</t>
    </r>
    <r>
      <rPr>
        <sz val="10"/>
        <color indexed="8"/>
        <rFont val="Arial"/>
        <family val="2"/>
      </rPr>
      <t xml:space="preserve"> Large size, advertised 9oz. Average</t>
    </r>
  </si>
  <si>
    <t>Rain Jacket</t>
  </si>
  <si>
    <r>
      <t>pullover, Marmot celery green</t>
    </r>
    <r>
      <rPr>
        <sz val="10"/>
        <color indexed="8"/>
        <rFont val="Arial"/>
        <family val="2"/>
      </rPr>
      <t xml:space="preserve"> Large size</t>
    </r>
  </si>
  <si>
    <t>Down Jacket &amp; hood</t>
  </si>
  <si>
    <t>pullover black PHD Minimus</t>
  </si>
  <si>
    <t>Total Prot</t>
  </si>
  <si>
    <t>Total Sat Fat</t>
  </si>
  <si>
    <t xml:space="preserve">S Fat </t>
  </si>
  <si>
    <t xml:space="preserve">Fat </t>
  </si>
  <si>
    <t>Cal</t>
  </si>
  <si>
    <t xml:space="preserve">SerSize </t>
  </si>
  <si>
    <t xml:space="preserve">Chol </t>
  </si>
  <si>
    <t>Carb</t>
  </si>
  <si>
    <t xml:space="preserve">Sugar </t>
  </si>
  <si>
    <t>Prot</t>
  </si>
  <si>
    <t>Fiber</t>
  </si>
  <si>
    <t>Cal/G</t>
  </si>
  <si>
    <t>% Prot/Calor</t>
  </si>
  <si>
    <t>electric air pump/charging cord</t>
  </si>
  <si>
    <t>straps for rope</t>
  </si>
  <si>
    <t>alarm clock</t>
  </si>
  <si>
    <t>1st aid kit</t>
  </si>
  <si>
    <t>trowel</t>
  </si>
  <si>
    <t>calorie shortage</t>
  </si>
  <si>
    <t>PILLOWs</t>
  </si>
  <si>
    <t>HYDRAULIC floor JACK</t>
  </si>
  <si>
    <t>FLASHLIGHT</t>
  </si>
  <si>
    <t>TWO cheap Vasque Boot laces 54"</t>
  </si>
  <si>
    <t>bear bag</t>
  </si>
  <si>
    <t>ursack TKO bear bag, 9.8 liter=598 c.i.</t>
  </si>
  <si>
    <t>sleeping bag ORNG BLU</t>
  </si>
  <si>
    <t>Ridge Rest Sleeping Pad 3/4 48" x 20 " advertised weight 260 g</t>
  </si>
  <si>
    <t>grams  =</t>
  </si>
  <si>
    <t>oz lighter than thermarest guidelite 3/4</t>
  </si>
  <si>
    <t>adhesive tape</t>
  </si>
  <si>
    <t>jerkey, 1st choice Original</t>
  </si>
  <si>
    <t>jerkey, beef, 1st choice Original</t>
  </si>
  <si>
    <t>jerkey, Turkey Teriyaki, Pacific Gold, Costco</t>
  </si>
  <si>
    <r>
      <t>prot</t>
    </r>
    <r>
      <rPr>
        <sz val="10"/>
        <rFont val="Arial"/>
        <family val="2"/>
      </rPr>
      <t>/day</t>
    </r>
  </si>
  <si>
    <r>
      <t>fibr</t>
    </r>
    <r>
      <rPr>
        <sz val="10"/>
        <rFont val="Arial"/>
        <family val="0"/>
      </rPr>
      <t>/day</t>
    </r>
  </si>
  <si>
    <r>
      <t>sat fat</t>
    </r>
    <r>
      <rPr>
        <sz val="10"/>
        <rFont val="Arial"/>
        <family val="0"/>
      </rPr>
      <t>/day</t>
    </r>
  </si>
  <si>
    <t>candy, butter mints</t>
  </si>
  <si>
    <t>Gatorade Mix, Fruit Punch</t>
  </si>
  <si>
    <t>64 oz gatorade bottle</t>
  </si>
  <si>
    <t>80 oz (2.42 liter) platypus bladder, with cap</t>
  </si>
  <si>
    <t>Water Bladder/Tube 100oz</t>
  </si>
  <si>
    <t>aaa Calif rd. map</t>
  </si>
  <si>
    <t>CA rd. book</t>
  </si>
  <si>
    <t>hand lotion</t>
  </si>
  <si>
    <t>CAR ONLY</t>
  </si>
  <si>
    <t>topo map</t>
  </si>
  <si>
    <t>crampons with red webbing</t>
  </si>
  <si>
    <t>aspirin</t>
  </si>
  <si>
    <t>pineapple juice</t>
  </si>
  <si>
    <t>apple juice</t>
  </si>
  <si>
    <t>cola</t>
  </si>
  <si>
    <t>razor</t>
  </si>
  <si>
    <t>shovel</t>
  </si>
  <si>
    <t>tire repair</t>
  </si>
  <si>
    <t>electric air pump</t>
  </si>
  <si>
    <t>jumper battery</t>
  </si>
  <si>
    <t>all kinds of spare clothes</t>
  </si>
  <si>
    <t>orange loud whistle</t>
  </si>
  <si>
    <t>paper towels, 6 small</t>
  </si>
  <si>
    <t>bivysack poles stakes grndclth, no sack</t>
  </si>
  <si>
    <t>cell phone + charger</t>
  </si>
  <si>
    <t>moonstone down s-bag AND stuff sack</t>
  </si>
  <si>
    <t>moonstone down s-bag alone</t>
  </si>
  <si>
    <t>blue nike shirt</t>
  </si>
  <si>
    <t>grey plastic measuring cup</t>
  </si>
  <si>
    <t>GPS with lithium batteries &amp; case, no hard back</t>
  </si>
  <si>
    <t>eyeglass repair</t>
  </si>
  <si>
    <t>glasses case</t>
  </si>
  <si>
    <t>groundcloth, poles, pole sack</t>
  </si>
  <si>
    <t>ursack TKO bear bag</t>
  </si>
  <si>
    <t>#3 Al Chock with steel cable ( for ursack anchoring )</t>
  </si>
  <si>
    <t>Bar, Pria strawberry shortcake</t>
  </si>
  <si>
    <t>need or allow:</t>
  </si>
  <si>
    <t>% * calories</t>
  </si>
  <si>
    <t>TRK 1</t>
  </si>
  <si>
    <t>CBX</t>
  </si>
  <si>
    <t>spare cell phone battery in case w/rubber band</t>
  </si>
  <si>
    <t>tripod, camera, REI</t>
  </si>
  <si>
    <t>Cell phone w/battery, case,stick</t>
  </si>
  <si>
    <t>Monocular, in baggie, no string, no case</t>
  </si>
  <si>
    <t>2 liter coke bottle</t>
  </si>
  <si>
    <t>g/liter</t>
  </si>
  <si>
    <t>.75 liter trader joes sports bottle for water</t>
  </si>
  <si>
    <t>.71 liter arrowhead sports bottle for water</t>
  </si>
  <si>
    <t>g/l</t>
  </si>
  <si>
    <t>g/2l</t>
  </si>
  <si>
    <t>Monocular case and string</t>
  </si>
  <si>
    <t>FILTER. Safe Water In-Line Hydration</t>
  </si>
  <si>
    <t>9' x 1/4" BLACK elastic</t>
  </si>
  <si>
    <t>MILES</t>
  </si>
  <si>
    <t>Ft. Climb</t>
  </si>
  <si>
    <t>black whistle</t>
  </si>
  <si>
    <t>Kashi GOLEAN Vanilla Spice Cake Cereal slimming system high protein/fiber bar</t>
  </si>
  <si>
    <t xml:space="preserve"> tastes good-</t>
  </si>
  <si>
    <t>oz/ft</t>
  </si>
  <si>
    <t>Cord, Kelty "Triptease Lightline" 50 ' 188 lb. Breaking strength, Spectra core</t>
  </si>
  <si>
    <t>Pot, 1 Qt. Trangia Titanium, no lid</t>
  </si>
  <si>
    <t>Charlet Moser Crab 6 instep crampons $55</t>
  </si>
  <si>
    <t>http://store.yahoo.com/bentgatemountaineering/crab6incramb.html</t>
  </si>
  <si>
    <t>Charlet Moser - Crab 4 Instep Crampon, $45</t>
  </si>
  <si>
    <t>http://www.altrec.com/shop/detail/11074/0</t>
  </si>
  <si>
    <t>http://www.uhartrescue.com/climbcrampons.html</t>
  </si>
  <si>
    <t>LEFTOVER FOOD - OVER 1 KILOGRAM</t>
  </si>
  <si>
    <t>FREE FOOD</t>
  </si>
  <si>
    <t>CALORIES CONSUMED</t>
  </si>
  <si>
    <t>CALORIES/DAY</t>
  </si>
  <si>
    <t>ACTUAL DAYS</t>
  </si>
  <si>
    <t>total inc. emergency calorie shortage, PERCENT</t>
  </si>
  <si>
    <t>SILITE STUFF SACK</t>
  </si>
  <si>
    <t>2 pr SOX: white FLUFFY &amp; liner</t>
  </si>
  <si>
    <t>COKE BOTTLE, 2 LITER</t>
  </si>
  <si>
    <t>TOOTH PASTE</t>
  </si>
  <si>
    <t>ETHER WIND SHIRT</t>
  </si>
  <si>
    <t>2 SPARE STUFF SACKS</t>
  </si>
  <si>
    <t>TP+CBX</t>
  </si>
  <si>
    <t>t-shirt</t>
  </si>
  <si>
    <t>1 pr sox</t>
  </si>
  <si>
    <t>WOOL SOX</t>
  </si>
  <si>
    <t>CAR/CBX</t>
  </si>
  <si>
    <t>Bar, Atkins Advantage Wild Berry Granola</t>
  </si>
  <si>
    <t>Bar, Pria French Vanilla Crisp</t>
  </si>
  <si>
    <t>Bar, Odwalla Berries Gomega</t>
  </si>
  <si>
    <t>Extra Band-Aids for legs</t>
  </si>
  <si>
    <t>moonstone down s-bag</t>
  </si>
  <si>
    <t>empty golite backpack 1lb. 7oz., no pad, trimmed off most of helmet holder, added shoulder padding</t>
  </si>
  <si>
    <t>chapstick and sunscreen</t>
  </si>
  <si>
    <t>chap 11, screen coppertone spf 30 net 17g 34g gross</t>
  </si>
  <si>
    <t>BOOZE</t>
  </si>
  <si>
    <t>151 RUM IN BOTTLE AND BAGGIE</t>
  </si>
  <si>
    <t xml:space="preserve">918+156 </t>
  </si>
  <si>
    <t>154+917</t>
  </si>
  <si>
    <t>BEARVAULT BV100 AND NEW LID</t>
  </si>
  <si>
    <t>BEARVAULT</t>
  </si>
  <si>
    <t>BV</t>
  </si>
  <si>
    <t>LIGHTER</t>
  </si>
  <si>
    <t>Aurora 3 LED Headlamp with 3 AAA LITHIUM Batteries/ Black Princeton Headband</t>
  </si>
  <si>
    <t>http://www.backpackgeartest.org/reviews/Cook%20Gear/Bear%20Resistant%20Containers/BearVault%20BV100/Bill%20Jeffrey/Initial%20Report/</t>
  </si>
  <si>
    <t>13 stakes=8 body and fly, 2 more for fly only + 3 guy lines. 21 stakes if none shared between body and fly.</t>
  </si>
  <si>
    <t>needs 6 stakes for body + 1 more for fly(vestibule corner) + 2 optional to guy out the fly in the middle of each side.</t>
  </si>
  <si>
    <r>
      <t xml:space="preserve">300 mg cholesterol/day </t>
    </r>
    <r>
      <rPr>
        <b/>
        <sz val="10"/>
        <rFont val="Arial"/>
        <family val="2"/>
      </rPr>
      <t>max</t>
    </r>
  </si>
  <si>
    <t>ALMONDS, Whole (raw?) Kirkland  Costco</t>
  </si>
  <si>
    <t>Cell phone w/battery, case,metal stick</t>
  </si>
  <si>
    <t>7 acetophetamin, 2 vitamins, 1 calcium IN CONTAINER</t>
  </si>
  <si>
    <t>%Sat. Fat/Calories</t>
  </si>
  <si>
    <t>%calories</t>
  </si>
  <si>
    <t>my old storm proof tent and poles and groundcloth</t>
  </si>
  <si>
    <t>tent stakes</t>
  </si>
  <si>
    <t>20-35 grams of dietary fiber a day (.0125 g/calorie 1.25% * calories)</t>
  </si>
  <si>
    <t>2lb 11.5oz</t>
  </si>
  <si>
    <t>3lb 3.7oz</t>
  </si>
  <si>
    <t>light Vasque Boot, Right with lace</t>
  </si>
  <si>
    <t>light Vasque Boot, Left with lace</t>
  </si>
  <si>
    <t>light Vasque Boots, pair with laces</t>
  </si>
  <si>
    <t>2lb 4.2oz</t>
  </si>
  <si>
    <r>
      <t xml:space="preserve">20-30 g sat fat/day, </t>
    </r>
    <r>
      <rPr>
        <b/>
        <sz val="10"/>
        <rFont val="Arial"/>
        <family val="2"/>
      </rPr>
      <t xml:space="preserve">max </t>
    </r>
    <r>
      <rPr>
        <sz val="10"/>
        <rFont val="Arial"/>
        <family val="2"/>
      </rPr>
      <t>(9-10% of calories)</t>
    </r>
  </si>
  <si>
    <t>% Fat/Calories</t>
  </si>
  <si>
    <t>% Protein /Calories</t>
  </si>
  <si>
    <t>PHD Minimus DOWN VEST</t>
  </si>
  <si>
    <t>TP, 42 sheets, in baggie</t>
  </si>
  <si>
    <t>PILLOWS</t>
  </si>
  <si>
    <t>6 nimh aa batteries</t>
  </si>
  <si>
    <t>Truck Unlocker</t>
  </si>
  <si>
    <t>Towel</t>
  </si>
  <si>
    <t>42 sheets double TP, no bag</t>
  </si>
  <si>
    <t>trimmed evazote AND ridge rest together</t>
  </si>
  <si>
    <t>Sleeping Pad</t>
  </si>
  <si>
    <t>big water bottle</t>
  </si>
  <si>
    <t>little water bottle with string</t>
  </si>
  <si>
    <t>15 aspirin, 4 Ibuprofen, 1 vitamins, 1 calcium IN CONTAINER</t>
  </si>
  <si>
    <t>rice crispie treats</t>
  </si>
  <si>
    <t>CLIFF carrot cake bar</t>
  </si>
  <si>
    <t>nutty nuggets</t>
  </si>
  <si>
    <t>grams/sheet(double)</t>
  </si>
  <si>
    <t>paper towels, 6 small, in baggie</t>
  </si>
  <si>
    <t>tiny pencil, box-cutter, tiny scissors with tube-cover, 4 rubber bands, lighter,thermometer, micro-LED-flashlight,sewingkit in container, all in a baggie</t>
  </si>
  <si>
    <t>soap , in container</t>
  </si>
  <si>
    <t>TP, 45 sheets, in baggie</t>
  </si>
  <si>
    <t>Sunflower Seeds, raw, Trader Joe's</t>
  </si>
  <si>
    <t>% Carbs/Calories</t>
  </si>
  <si>
    <t>exactly as advertised</t>
  </si>
  <si>
    <t>PROMAX LEAN PROTEIN Food Bar, Blueberry Cheesecake</t>
  </si>
  <si>
    <t>tastes good</t>
  </si>
  <si>
    <t>new padding for shoulder straps</t>
  </si>
  <si>
    <t>camera case, green, for Minolta F100</t>
  </si>
  <si>
    <t>spare 16mb memory for camera, in clear plastic case</t>
  </si>
  <si>
    <t>topo map and directions, in baggie</t>
  </si>
  <si>
    <t>blue silk shirt</t>
  </si>
  <si>
    <t>long sleeved with buttons, 2 pockets</t>
  </si>
  <si>
    <t>backpack/pocket/pad</t>
  </si>
  <si>
    <t>Thermarest</t>
  </si>
  <si>
    <t>grams total for tent/fly/2 new poles</t>
  </si>
  <si>
    <t>TOTAL in pack</t>
  </si>
  <si>
    <t>titanal hiking pole</t>
  </si>
  <si>
    <t>titanal more than REI Carbon</t>
  </si>
  <si>
    <t>Cashews, whole w/ peanut oil and salt (roasted??), Kirkland, Costco</t>
  </si>
  <si>
    <t>Bread, Oroweat 100% whole wheat LIGHT</t>
  </si>
  <si>
    <t>http://www.oc.edu/staff/phil.heffington/gearcomparisons.htm</t>
  </si>
  <si>
    <t>lightyear CD footprint, sierra designs</t>
  </si>
  <si>
    <t>old rear pole</t>
  </si>
  <si>
    <t>old rear pole after break and repair</t>
  </si>
  <si>
    <t>LIGHTYEAR LIGHTER THAN LIGHTSPEED by 2.2 lbs.</t>
  </si>
  <si>
    <t>dried PINEAPPLE rader joe's</t>
  </si>
  <si>
    <t>HIGH CARB, HIGH SUGAR, LOW SAT. FAT, LOW PROTEIN</t>
  </si>
  <si>
    <t>Cashews, TRADER JOE'S RAW</t>
  </si>
  <si>
    <t>Droste Chocolate pastilles</t>
  </si>
  <si>
    <t>Villa's dark Chocolate bar 72%</t>
  </si>
  <si>
    <t>Pine Nuts, trader joe's raw.</t>
  </si>
  <si>
    <t>MACADAMIA Nuts, Raw, mauna loa</t>
  </si>
  <si>
    <t>Sunday June 1</t>
  </si>
  <si>
    <t>tow strap</t>
  </si>
  <si>
    <t>potassium</t>
  </si>
  <si>
    <t>total calories</t>
  </si>
  <si>
    <t>calorie goal, Goddard</t>
  </si>
  <si>
    <t>calorie surplus</t>
  </si>
  <si>
    <t>emergency calories goal (.8 day)</t>
  </si>
  <si>
    <t>URSACK HYBRID : TKO 2.0 with Aluminum Liner</t>
  </si>
  <si>
    <t>actual weight is</t>
  </si>
  <si>
    <t>URSACK TKO 2.0</t>
  </si>
  <si>
    <t>advertised</t>
  </si>
  <si>
    <t xml:space="preserve"> oz.</t>
  </si>
  <si>
    <t>URSACK ALUMINUM LINER</t>
  </si>
  <si>
    <t>3 pack $10.95</t>
  </si>
  <si>
    <t>Ursack Odor Barrier ziplock bags</t>
  </si>
  <si>
    <t>TP or tissue</t>
  </si>
  <si>
    <t>scale</t>
  </si>
  <si>
    <t>running shoes</t>
  </si>
  <si>
    <t>books on tape/CD</t>
  </si>
  <si>
    <t>headphone</t>
  </si>
  <si>
    <t>hardware box (fuses, nuts &amp; bolts)</t>
  </si>
  <si>
    <t>big blue tarp</t>
  </si>
  <si>
    <t>spare glasses</t>
  </si>
  <si>
    <t>garage door opener</t>
  </si>
  <si>
    <t>tech cord</t>
  </si>
  <si>
    <t>little webbing</t>
  </si>
  <si>
    <t>big webbing</t>
  </si>
  <si>
    <t>tape</t>
  </si>
  <si>
    <t>mirror</t>
  </si>
  <si>
    <t>9v battery</t>
  </si>
  <si>
    <t>aa alkalines</t>
  </si>
  <si>
    <t>inyo nf map</t>
  </si>
  <si>
    <t>spare baggies/bottles/containers</t>
  </si>
  <si>
    <t>sealer</t>
  </si>
  <si>
    <t>silk long johns</t>
  </si>
  <si>
    <t>lighter</t>
  </si>
  <si>
    <t>thermarest guidelite 3/4</t>
  </si>
  <si>
    <t>g heavier than advertised</t>
  </si>
  <si>
    <t>g lighter than old one</t>
  </si>
  <si>
    <t>oz lighter than old one</t>
  </si>
  <si>
    <t>% of advertised weight</t>
  </si>
  <si>
    <t>black diamond ice axe, 60 cm, $70 http://www.rei.com/cgi-bin/ncommerce3/ProductDisplay?prmenbr=8000&amp;prrfnbr=11261236</t>
  </si>
  <si>
    <t>TNF "LIGHTSPEED LONG" stuff sack</t>
  </si>
  <si>
    <t xml:space="preserve">Lightspeed Long Tent </t>
  </si>
  <si>
    <t>red jacket</t>
  </si>
  <si>
    <t>zipoff pants</t>
  </si>
  <si>
    <t>actual capacity nach http://www.backpackgeartest.org/reviews/Cook%20Gear/Bear%20Resistant%20Containers/BearVault%20BV100/Camilla%20Burke/Initial%20Report/</t>
  </si>
  <si>
    <t>total pack</t>
  </si>
  <si>
    <t>total wear</t>
  </si>
  <si>
    <t>wool sox</t>
  </si>
  <si>
    <t>Ether Windshirt</t>
  </si>
  <si>
    <t>pack-tp</t>
  </si>
  <si>
    <t>baggies, 2 ea 1 gallon</t>
  </si>
  <si>
    <t>2 bales</t>
  </si>
  <si>
    <t>PANTS, green Gramicci</t>
  </si>
  <si>
    <t>hiking sticks/poles, pair</t>
  </si>
  <si>
    <t>AURORA HEADLAMP and BATTs</t>
  </si>
  <si>
    <t>ETREX GPS/ AA lithium batts</t>
  </si>
  <si>
    <t>clear glasses / case</t>
  </si>
  <si>
    <t>rino 530/rechargable batt.</t>
  </si>
  <si>
    <t>TNF tent/fly</t>
  </si>
  <si>
    <t>eyeglasses, magnifying, gauze, bandaids, lighter</t>
  </si>
  <si>
    <t>tent poles +Ground cloth</t>
  </si>
  <si>
    <t>running shirt + shorts</t>
  </si>
  <si>
    <t>TOW STRAPs + jumpers</t>
  </si>
  <si>
    <t>TI POT+handle</t>
  </si>
  <si>
    <t>GEORGE CRK DRIVE MAP</t>
  </si>
  <si>
    <t>calorie goal</t>
  </si>
  <si>
    <t>shortage</t>
  </si>
  <si>
    <t>ZONE Perfect strwbry Yogurt Nutrition Bar</t>
  </si>
  <si>
    <t xml:space="preserve"> tastes good++</t>
  </si>
  <si>
    <t>diff twixt 2 totals</t>
  </si>
  <si>
    <t>CLIF Luna tropical Crisp bar</t>
  </si>
  <si>
    <t>chol/dy</t>
  </si>
  <si>
    <t>10 baggies for 11 items (rows 2-12)</t>
  </si>
  <si>
    <t>EXTRA water</t>
  </si>
  <si>
    <t>extra toothbrush</t>
  </si>
  <si>
    <t>hair brush</t>
  </si>
  <si>
    <t>2.5" tiny scissors from michael's, with shrink-tube cover</t>
  </si>
  <si>
    <t>plastic starflash Signal Mirror 3"x2"</t>
  </si>
  <si>
    <t>Atkins Advantage Bar</t>
  </si>
  <si>
    <t>GenSoy Protein bar</t>
  </si>
  <si>
    <t>Serving Size Grams</t>
  </si>
  <si>
    <t>Worldwide Sport Nutrition Pure Protein High Protein Meal Replacement Bar, Rasberry Vanilla</t>
  </si>
  <si>
    <t>1 rice krisp. marsh. Bar</t>
  </si>
  <si>
    <t>Nutty Nuggets, Ralphs (Generic Grape Nuts)</t>
  </si>
  <si>
    <t>jerkey, pacific gold natural, costco</t>
  </si>
  <si>
    <t>peanutbutter cracker snack packs, Keebler "toast &amp; pntbtr sandwich crackers"</t>
  </si>
  <si>
    <t>laguna fruit bar, Costco</t>
  </si>
  <si>
    <t>Pine Nuts, Kirkland raw, Costco</t>
  </si>
  <si>
    <t>Soy Nuts, Roasted, salted, Kirkland, Costco</t>
  </si>
  <si>
    <t>Hershey's special dark Chocolate bar</t>
  </si>
  <si>
    <t>Pecans, halves, Kirkland, Costco</t>
  </si>
  <si>
    <t>MSR Cloudliner Hydration Reservoir - 3 Liter</t>
  </si>
  <si>
    <t>calories/day consumed</t>
  </si>
  <si>
    <t>calories actually consumed APPROX</t>
  </si>
  <si>
    <t>balanced calorie goal, Brewer</t>
  </si>
  <si>
    <t>balanced totals</t>
  </si>
  <si>
    <t>emergency calorie supply not included in balanced totals</t>
  </si>
  <si>
    <t>balanced calories</t>
  </si>
  <si>
    <t>Cal /   G</t>
  </si>
  <si>
    <t>AVY BEACON with 3 aaa alkalines</t>
  </si>
  <si>
    <t>advertised 6 oz.</t>
  </si>
  <si>
    <t>AVY BEACON harness</t>
  </si>
  <si>
    <t>no batteries, with wrist attachment, Mammut Barryvox</t>
  </si>
  <si>
    <t>detachable top pocket for golite pack</t>
  </si>
  <si>
    <t>1lb 11.2 oz</t>
  </si>
  <si>
    <t>total platypus</t>
  </si>
  <si>
    <t>golite velcro straps (2)</t>
  </si>
  <si>
    <t>peanutbutter cracker snack packs</t>
  </si>
  <si>
    <t>pencil, box-cutter, scissors, rubber bands,bandaids, whistle, lighter, wax string, elastic</t>
  </si>
  <si>
    <t xml:space="preserve">    pack of tissues (for TP), 7 acetophetamin, 2 vitamins, 2 calcium, etc., container</t>
  </si>
  <si>
    <t xml:space="preserve">    micro-LED-f_light/spare bat., [sewing/glasses repair/container], 100' waxed string</t>
  </si>
  <si>
    <t xml:space="preserve">    spare memory,LED headlamp, adhesive tape, sunblock/chapstick/pill-box</t>
  </si>
  <si>
    <t>WEAR ------------------------------------------------------------------------------</t>
  </si>
  <si>
    <t>clean work clothes &amp; clothes to drive in</t>
  </si>
  <si>
    <t>towel, warm clothes, rain clothes</t>
  </si>
  <si>
    <t>laptop &amp; stuff, power strip</t>
  </si>
  <si>
    <t>cooler , snack food, drinks</t>
  </si>
  <si>
    <t>tools, air pump, spare tire repair</t>
  </si>
  <si>
    <t>car cover</t>
  </si>
  <si>
    <t>spare cell phone battery, charger</t>
  </si>
  <si>
    <t>baggies</t>
  </si>
  <si>
    <t>rope</t>
  </si>
  <si>
    <t>towlettes</t>
  </si>
  <si>
    <t>q-tips</t>
  </si>
  <si>
    <t>total golite "Speed Ultra-Lite Fast Pack Large 765g, 3300 cu in. 30 lb max load"</t>
  </si>
  <si>
    <t>brown rain leggings</t>
  </si>
  <si>
    <t>should use 19</t>
  </si>
  <si>
    <t>oz/19 stakes</t>
  </si>
  <si>
    <t>80 oz (2.4 liter) platypus bladder alone</t>
  </si>
  <si>
    <t>a16 pack, no straps</t>
  </si>
  <si>
    <t>camp 7 s-bag 27 oz fill, 32"x90"</t>
  </si>
  <si>
    <t xml:space="preserve">old blue/orange s-bag </t>
  </si>
  <si>
    <t>orange giro helmet, old with velcro</t>
  </si>
  <si>
    <t>blue gaiters</t>
  </si>
  <si>
    <t>red/blue/purple gaiters</t>
  </si>
  <si>
    <t>blue/black "powderline" gaiters</t>
  </si>
  <si>
    <t>silver giro helmet, old with yellow reflector tape</t>
  </si>
  <si>
    <t>new yellow giro helmet</t>
  </si>
  <si>
    <t>old white Vetta helmet</t>
  </si>
  <si>
    <t>21 ft. black waxed string</t>
  </si>
  <si>
    <t>315 g</t>
  </si>
  <si>
    <t>jumper cables</t>
  </si>
  <si>
    <t>down vest</t>
  </si>
  <si>
    <t>yellow travel toothbrush with case</t>
  </si>
  <si>
    <t>tools</t>
  </si>
  <si>
    <t>s-bag</t>
  </si>
  <si>
    <t>matress</t>
  </si>
  <si>
    <t>cooler</t>
  </si>
  <si>
    <t>water</t>
  </si>
  <si>
    <t>s-cal delorme topo book</t>
  </si>
  <si>
    <t>Calories/day</t>
  </si>
  <si>
    <t>was not enough</t>
  </si>
  <si>
    <t>Bar, fruit and nut, Ralphs</t>
  </si>
  <si>
    <t>jacket, rain</t>
  </si>
  <si>
    <t>thermasilk black long underpants with part of waistband cut off</t>
  </si>
  <si>
    <t>thermasilk black long underpants with part of waistband cut off in a baggie</t>
  </si>
  <si>
    <t>long underpants</t>
  </si>
  <si>
    <t>WB</t>
  </si>
  <si>
    <t>shorts, zipoff</t>
  </si>
  <si>
    <t>pants legs, zipoff</t>
  </si>
  <si>
    <t>pants legs, zipoff go with shrts worn</t>
  </si>
  <si>
    <t>pants, zipoff shorts only, beige with elastic cord built-in belt</t>
  </si>
  <si>
    <t>shirt , LONG SLEEVE</t>
  </si>
  <si>
    <t xml:space="preserve">shirt with vents, Columbia Long Sleeved tan </t>
  </si>
  <si>
    <t>net wt.</t>
  </si>
  <si>
    <t>hat, knit</t>
  </si>
  <si>
    <t>underpants, silk bikini</t>
  </si>
  <si>
    <t>PONCHO</t>
  </si>
  <si>
    <t>silite poncho in net bag</t>
  </si>
  <si>
    <t>air pump charging cord</t>
  </si>
  <si>
    <t>cell phone charger/AC</t>
  </si>
  <si>
    <t>BLUE PAPER TOWELS</t>
  </si>
  <si>
    <t>Climb High CMI Adj. Instep Crampon w/nylon strap - $30.95</t>
  </si>
  <si>
    <t>CMI Adjustable Crampon, Neoprene Straps $29.95</t>
  </si>
  <si>
    <t>http://www.shopglobalmart.com/index/o/outdoors_seasonal_gear_crampons_cmi_crampons.htm</t>
  </si>
  <si>
    <t>New England Tech Cord, 3mm , 3100 lb Minimum Breaking Strength, Nylon jacketed Technora, 121.4', w/ rubber bands</t>
  </si>
  <si>
    <t>PANTS, black fleece Nike polyester thermafit</t>
  </si>
  <si>
    <t>wild. Permit. Get permit in Lone Pine</t>
  </si>
  <si>
    <t>blue tarp</t>
  </si>
  <si>
    <t>lafuma warm shirt</t>
  </si>
  <si>
    <t>toll road transponder</t>
  </si>
  <si>
    <t>silite poncho</t>
  </si>
  <si>
    <t>thicker black gloves</t>
  </si>
  <si>
    <t>spare pair thick sox</t>
  </si>
  <si>
    <t>big orange space blanker</t>
  </si>
  <si>
    <t>sunblock/chapstick</t>
  </si>
  <si>
    <t>3-outler 12v exntdr</t>
  </si>
  <si>
    <t>ligher</t>
  </si>
  <si>
    <t>f-light 2-aa cell</t>
  </si>
  <si>
    <t>knife - thin snapoff blade</t>
  </si>
  <si>
    <t>9 Tent stakes/ baggie</t>
  </si>
  <si>
    <t>22' little red webbing</t>
  </si>
  <si>
    <t>eyeglass repair kit</t>
  </si>
  <si>
    <t>tech cord, ~10 ft.</t>
  </si>
  <si>
    <t>TP roll</t>
  </si>
  <si>
    <t>trash bags, big black</t>
  </si>
  <si>
    <t>Titanium pot</t>
  </si>
  <si>
    <t>Dark Chocolate, TJ's Belgian</t>
  </si>
  <si>
    <t>Bar, fruit and nut, nature valley</t>
  </si>
  <si>
    <t>Orange Milano Cookies, Pepperidge Farm</t>
  </si>
  <si>
    <t>Dark Chocolate, Private Selection, with truffle center</t>
  </si>
  <si>
    <t>black diamond 2-LED headlamp</t>
  </si>
  <si>
    <t>black thin gloves</t>
  </si>
  <si>
    <t>car</t>
  </si>
  <si>
    <t>pack</t>
  </si>
  <si>
    <t>box</t>
  </si>
  <si>
    <t>wallet/money/work-daypack</t>
  </si>
  <si>
    <t>spare glasses/sun-glasses</t>
  </si>
  <si>
    <t>piezo lighter</t>
  </si>
  <si>
    <t>jerkey, oberto teriyaki</t>
  </si>
  <si>
    <t>tastes good, no fat, no protein</t>
  </si>
  <si>
    <t>total, pair Merrell boots and laces</t>
  </si>
  <si>
    <t>Ice Axe lightweight strap and covers for pick and point</t>
  </si>
  <si>
    <t>Ushba Altai Titanium Ice Axe WITH lightweight strap and covers for pick and point</t>
  </si>
  <si>
    <r>
      <t xml:space="preserve">WEIGHT: 2.7 lbs. or 2 pounds 11 ounces. REI sez 2 lb. 12 oz. And $78 and  </t>
    </r>
    <r>
      <rPr>
        <sz val="10"/>
        <color indexed="8"/>
        <rFont val="Arial"/>
        <family val="2"/>
      </rPr>
      <t>8.8" dia. X 12" long. weight 2.7 lbs. 3.1416*4.4*4.4*12=729.9, but I guess it’s more like 3.1416*16*12=603.2, 340 fl. Oz</t>
    </r>
  </si>
  <si>
    <t>total Merrel boots with laces</t>
  </si>
  <si>
    <t>big orange space blanket</t>
  </si>
  <si>
    <t>Nylon Glove Liners</t>
  </si>
  <si>
    <t>Black Silite stuff sack, "equinox 7x15 .80z www.equinoxltd.com</t>
  </si>
  <si>
    <t>golite rain jacket</t>
  </si>
  <si>
    <t>Black Buck Pliers/knife/etc.</t>
  </si>
  <si>
    <t>2 latex gloves</t>
  </si>
  <si>
    <t>Ounces</t>
  </si>
  <si>
    <t>description</t>
  </si>
  <si>
    <t>thermarest old irregular 3/4    20"x47"</t>
  </si>
  <si>
    <t>Timex watch with 30 lap stopwatch</t>
  </si>
  <si>
    <t>large yellow Performance brand jacket, no pockets or mesh or vents</t>
  </si>
  <si>
    <t>columbia women's large zipoff pant legs only</t>
  </si>
  <si>
    <t>columbia women's large zipoff pants without legs</t>
  </si>
  <si>
    <t>car key</t>
  </si>
  <si>
    <t xml:space="preserve"> Hiking pole with strap, rubber tip cap, bale, trekking pole</t>
  </si>
  <si>
    <t>DEET</t>
  </si>
  <si>
    <t>30% deet stick, estimated weight</t>
  </si>
  <si>
    <t>Golite Speed Pack</t>
  </si>
  <si>
    <t>total, wearables and pack</t>
  </si>
  <si>
    <t>Memry Whstle Scssrs Pncil</t>
  </si>
  <si>
    <t>TYVEK Homewrap, ground cloth, for SDULCD tent/ rubber bands</t>
  </si>
  <si>
    <t>~10 ft. elastic, ~~ 60' string waxed, box cutter knife</t>
  </si>
  <si>
    <t>128 &amp; 256 mb, orange whistle, tiny scissors, tiny pencil, 1/2 comb</t>
  </si>
  <si>
    <t>lacross tweezers/case, micro-LED light /spare batt/ 27'x.5" adhsv tape bag</t>
  </si>
  <si>
    <t>sew kit/eyglss rpair, 4 threaded needle, thread, scrwdrvr/screws, case</t>
  </si>
  <si>
    <r>
      <t>Petzl Tikka Plus/3 AAA lithiums/</t>
    </r>
    <r>
      <rPr>
        <b/>
        <sz val="10"/>
        <rFont val="Arial"/>
        <family val="2"/>
      </rPr>
      <t>Black Diamond head-band</t>
    </r>
  </si>
  <si>
    <t>fritz tent 3.46 + GC</t>
  </si>
  <si>
    <t>10 easton stakes/strings new/old</t>
  </si>
  <si>
    <t>7+2TENT STAKES</t>
  </si>
  <si>
    <t>Tent total</t>
  </si>
  <si>
    <r>
      <t xml:space="preserve">10 STAKES FOR FLY (8 CAN BE SHARED WITH BODY) AND 3 STAKES FOR GUY LINES - </t>
    </r>
    <r>
      <rPr>
        <b/>
        <sz val="14"/>
        <rFont val="Arial"/>
        <family val="2"/>
      </rPr>
      <t>USE 13 TO 21 STAKES</t>
    </r>
    <r>
      <rPr>
        <sz val="10"/>
        <rFont val="Arial"/>
        <family val="0"/>
      </rPr>
      <t>.</t>
    </r>
  </si>
  <si>
    <t>18 stakes</t>
  </si>
  <si>
    <t xml:space="preserve">c.i. = </t>
  </si>
  <si>
    <t>1 US fluid ounces = 1.80468751 cubic inches</t>
  </si>
  <si>
    <t>fl oz</t>
  </si>
  <si>
    <t>fl. Oz. =</t>
  </si>
  <si>
    <t>tent weights include tent, fly, poles, stakes, ground cloth (no sacks for my tents)</t>
  </si>
  <si>
    <t>our 2 tents                      6.82</t>
  </si>
  <si>
    <t>my 2-man tent total is     5.11 lb.</t>
  </si>
  <si>
    <t>.865 liter red/white "ambulance" bike bottle</t>
  </si>
  <si>
    <t>Deb's Hiking pole, Leki Sierra triple spring system, with strap at rubber tip cap trekking pole</t>
  </si>
  <si>
    <t>Deb's Hiking pole with strap, rubber tip cap, bale, trekking pole</t>
  </si>
  <si>
    <t>s-bag stuff sack</t>
  </si>
  <si>
    <t>little loud yellow whistle</t>
  </si>
  <si>
    <t>water bottle</t>
  </si>
  <si>
    <t>4 spare batteries AA lith</t>
  </si>
  <si>
    <t>2 big orange stays for Lowe Pack, with rubber tips</t>
  </si>
  <si>
    <t>total Lowe's Contour 60+10 hyperlite with detachable top pocket, hip belt, all stays</t>
  </si>
  <si>
    <t>Mt Barnard/Trojan Peak, May 6,7,8, 2006</t>
  </si>
  <si>
    <t>sleeping pad</t>
  </si>
  <si>
    <t>crampons</t>
  </si>
  <si>
    <t>ice axe</t>
  </si>
  <si>
    <t>total food/wrapping/</t>
  </si>
  <si>
    <t>garmin rino 530 GPS/radio w/o batteries</t>
  </si>
  <si>
    <t>garmin rino 530 GPS/radio rechargable battery pack</t>
  </si>
  <si>
    <t>garmin rino 530 GPS/radio empty "alkaline" battery pack</t>
  </si>
  <si>
    <t>cell phone</t>
  </si>
  <si>
    <t>cell phone with cover and plastic knife</t>
  </si>
  <si>
    <t>Petzl Tikka Plus/3 AAA lithiums/Black Diamond head-band</t>
  </si>
  <si>
    <t>OR Gortex green, size M gaiters with velcro</t>
  </si>
  <si>
    <t xml:space="preserve">PAIR REI "compact Peak UL" carbon fiber hiking stick/pole, </t>
  </si>
  <si>
    <t>of advertised weight of 12.4 OZ.</t>
  </si>
  <si>
    <t xml:space="preserve">one REI "compact Peak UL" carbon fiber hiking stick/pole, </t>
  </si>
  <si>
    <t>inch minimum length</t>
  </si>
  <si>
    <t>of advertised minimum length</t>
  </si>
  <si>
    <t>of advertised weight of 10 oz.</t>
  </si>
  <si>
    <t>REI grey/green daypack , 1 liter adv. Capacity</t>
  </si>
  <si>
    <t xml:space="preserve">Moonset        8:57 p.m. </t>
  </si>
  <si>
    <t xml:space="preserve">Begin twilight 5:05 a.m.          </t>
  </si>
  <si>
    <t xml:space="preserve">Sunrise        5:35 a.m.   </t>
  </si>
  <si>
    <t xml:space="preserve">Sunset         8:05 p.m. </t>
  </si>
  <si>
    <t>End twilight   8:35 p.m.</t>
  </si>
  <si>
    <t>Moonrise       6:33 a.m.</t>
  </si>
  <si>
    <t>Moonset        9:54 p.m.</t>
  </si>
  <si>
    <t>PROMAX Bar, Lemon Chifon</t>
  </si>
  <si>
    <t>tripod, camera, REI(Share)</t>
  </si>
  <si>
    <t>little loud Orange whistle</t>
  </si>
  <si>
    <t>silite poncho in baggie</t>
  </si>
  <si>
    <t>thinsulite gloves</t>
  </si>
  <si>
    <t>my share of Paul's tent/stove</t>
  </si>
  <si>
    <t>TH-&gt;Coliseum</t>
  </si>
  <si>
    <t>Coliseum-Cedrick</t>
  </si>
  <si>
    <t>hike out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</si>
</sst>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0"/>
    <numFmt numFmtId="173" formatCode="0.000000000000"/>
    <numFmt numFmtId="174" formatCode="0.000"/>
    <numFmt numFmtId="175" formatCode="&quot;Yes&quot;;&quot;Yes&quot;;&quot;No&quot;"/>
    <numFmt numFmtId="176" formatCode="&quot;True&quot;;&quot;True&quot;;&quot;False&quot;"/>
    <numFmt numFmtId="177" formatCode="&quot;On&quot;;&quot;On&quot;;&quot;Off&quot;"/>
    <numFmt numFmtId="178" formatCode="0.0000"/>
    <numFmt numFmtId="179" formatCode="[$€-2]\ #,##0.00_);[Red]\([$€-2]\ #,##0.00\)"/>
    <numFmt numFmtId="180" formatCode="0.00000"/>
    <numFmt numFmtId="181" formatCode="0.000000"/>
    <numFmt numFmtId="182" formatCode="0.0%"/>
    <numFmt numFmtId="183" formatCode="0.000%"/>
  </numFmts>
  <fonts count="32">
    <font>
      <sz val="10"/>
      <name val="Arial"/>
      <family val="0"/>
    </font>
    <font>
      <i/>
      <sz val="10"/>
      <name val="Arial"/>
      <family val="2"/>
    </font>
    <font>
      <u val="single"/>
      <sz val="10"/>
      <color indexed="12"/>
      <name val="Arial"/>
      <family val="0"/>
    </font>
    <font>
      <u val="single"/>
      <sz val="10"/>
      <color indexed="36"/>
      <name val="Arial"/>
      <family val="0"/>
    </font>
    <font>
      <b/>
      <i/>
      <sz val="14"/>
      <name val="Arial"/>
      <family val="2"/>
    </font>
    <font>
      <b/>
      <sz val="10"/>
      <name val="Arial"/>
      <family val="0"/>
    </font>
    <font>
      <sz val="10"/>
      <color indexed="8"/>
      <name val="Arial"/>
      <family val="2"/>
    </font>
    <font>
      <sz val="10"/>
      <name val="Arial Unicode MS"/>
      <family val="2"/>
    </font>
    <font>
      <b/>
      <sz val="10"/>
      <name val="Arial Unicode MS"/>
      <family val="2"/>
    </font>
    <font>
      <sz val="9"/>
      <name val="Arial"/>
      <family val="2"/>
    </font>
    <font>
      <sz val="8"/>
      <name val="Arial"/>
      <family val="2"/>
    </font>
    <font>
      <sz val="10"/>
      <name val="Verdana"/>
      <family val="2"/>
    </font>
    <font>
      <sz val="7.5"/>
      <name val="Verdana"/>
      <family val="2"/>
    </font>
    <font>
      <u val="single"/>
      <sz val="10"/>
      <color indexed="8"/>
      <name val="Arial"/>
      <family val="2"/>
    </font>
    <font>
      <i/>
      <u val="single"/>
      <sz val="10"/>
      <name val="Arial"/>
      <family val="2"/>
    </font>
    <font>
      <i/>
      <u val="single"/>
      <sz val="9"/>
      <name val="Arial"/>
      <family val="2"/>
    </font>
    <font>
      <b/>
      <sz val="9"/>
      <name val="Arial"/>
      <family val="2"/>
    </font>
    <font>
      <sz val="9"/>
      <name val="Courier New"/>
      <family val="3"/>
    </font>
    <font>
      <sz val="5"/>
      <name val="Arial"/>
      <family val="2"/>
    </font>
    <font>
      <u val="single"/>
      <sz val="9"/>
      <name val="Arial"/>
      <family val="2"/>
    </font>
    <font>
      <b/>
      <u val="single"/>
      <sz val="10"/>
      <name val="Arial"/>
      <family val="2"/>
    </font>
    <font>
      <sz val="9"/>
      <color indexed="8"/>
      <name val="Arial"/>
      <family val="0"/>
    </font>
    <font>
      <sz val="7.5"/>
      <name val="Arial"/>
      <family val="2"/>
    </font>
    <font>
      <sz val="7"/>
      <name val="Arial"/>
      <family val="2"/>
    </font>
    <font>
      <b/>
      <sz val="10"/>
      <color indexed="8"/>
      <name val="Arial"/>
      <family val="2"/>
    </font>
    <font>
      <u val="single"/>
      <sz val="10"/>
      <name val="Arial"/>
      <family val="0"/>
    </font>
    <font>
      <b/>
      <i/>
      <sz val="10"/>
      <name val="Arial"/>
      <family val="2"/>
    </font>
    <font>
      <b/>
      <sz val="14"/>
      <name val="Arial"/>
      <family val="2"/>
    </font>
    <font>
      <b/>
      <sz val="12"/>
      <name val="Arial"/>
      <family val="0"/>
    </font>
    <font>
      <b/>
      <sz val="18"/>
      <name val="Arial"/>
      <family val="2"/>
    </font>
    <font>
      <sz val="12"/>
      <name val="Times New Roman"/>
      <family val="1"/>
    </font>
    <font>
      <sz val="12"/>
      <color indexed="8"/>
      <name val="Times New Roman"/>
      <family val="1"/>
    </font>
  </fonts>
  <fills count="3">
    <fill>
      <patternFill/>
    </fill>
    <fill>
      <patternFill patternType="gray125"/>
    </fill>
    <fill>
      <patternFill patternType="solid">
        <fgColor indexed="9"/>
        <bgColor indexed="64"/>
      </patternFill>
    </fill>
  </fills>
  <borders count="2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style="medium"/>
    </border>
    <border>
      <left style="thin"/>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24">
    <xf numFmtId="0" fontId="0" fillId="0" borderId="0" xfId="0" applyAlignment="1">
      <alignment/>
    </xf>
    <xf numFmtId="0" fontId="0" fillId="0" borderId="0" xfId="0" applyAlignment="1">
      <alignment wrapText="1"/>
    </xf>
    <xf numFmtId="172" fontId="0" fillId="0" borderId="0" xfId="0" applyNumberFormat="1" applyAlignment="1">
      <alignment/>
    </xf>
    <xf numFmtId="2" fontId="0" fillId="0" borderId="0" xfId="0" applyNumberFormat="1" applyAlignment="1">
      <alignment/>
    </xf>
    <xf numFmtId="173" fontId="0" fillId="0" borderId="0" xfId="0" applyNumberFormat="1" applyAlignment="1">
      <alignment/>
    </xf>
    <xf numFmtId="0" fontId="1" fillId="0" borderId="0" xfId="0" applyFont="1" applyAlignment="1">
      <alignment/>
    </xf>
    <xf numFmtId="0" fontId="0" fillId="0" borderId="0" xfId="0" applyFont="1" applyAlignment="1">
      <alignment/>
    </xf>
    <xf numFmtId="0" fontId="0" fillId="0" borderId="0" xfId="0" applyAlignment="1" quotePrefix="1">
      <alignment/>
    </xf>
    <xf numFmtId="174" fontId="0" fillId="0" borderId="0" xfId="0" applyNumberFormat="1" applyAlignment="1">
      <alignment/>
    </xf>
    <xf numFmtId="1" fontId="0" fillId="0" borderId="0" xfId="0" applyNumberFormat="1" applyAlignment="1">
      <alignment/>
    </xf>
    <xf numFmtId="172" fontId="0" fillId="0" borderId="0" xfId="0" applyNumberFormat="1" applyFont="1" applyAlignment="1">
      <alignment/>
    </xf>
    <xf numFmtId="0" fontId="0" fillId="0" borderId="0" xfId="0" applyFont="1" applyAlignment="1">
      <alignment/>
    </xf>
    <xf numFmtId="0" fontId="0" fillId="0" borderId="0" xfId="0" applyAlignment="1">
      <alignment/>
    </xf>
    <xf numFmtId="173" fontId="0" fillId="0" borderId="0" xfId="0" applyNumberFormat="1" applyAlignment="1">
      <alignment/>
    </xf>
    <xf numFmtId="0" fontId="4" fillId="0" borderId="0" xfId="0" applyFont="1" applyAlignment="1">
      <alignment/>
    </xf>
    <xf numFmtId="0" fontId="0" fillId="0" borderId="0" xfId="0" applyFont="1" applyAlignment="1">
      <alignment/>
    </xf>
    <xf numFmtId="1" fontId="0" fillId="0" borderId="0" xfId="0" applyNumberFormat="1" applyFont="1" applyAlignment="1">
      <alignment/>
    </xf>
    <xf numFmtId="1" fontId="1" fillId="0" borderId="0" xfId="0" applyNumberFormat="1" applyFont="1" applyAlignment="1">
      <alignment/>
    </xf>
    <xf numFmtId="0" fontId="0" fillId="0" borderId="0" xfId="0" applyAlignment="1">
      <alignment horizontal="right"/>
    </xf>
    <xf numFmtId="173" fontId="0" fillId="0" borderId="0" xfId="0" applyNumberFormat="1" applyAlignment="1">
      <alignment horizontal="left"/>
    </xf>
    <xf numFmtId="0" fontId="0" fillId="0" borderId="0" xfId="0" applyAlignment="1">
      <alignment horizontal="left" vertical="center"/>
    </xf>
    <xf numFmtId="0" fontId="5" fillId="0" borderId="0" xfId="0" applyFont="1" applyAlignment="1">
      <alignment/>
    </xf>
    <xf numFmtId="1" fontId="0" fillId="0" borderId="0" xfId="0" applyNumberFormat="1" applyAlignment="1">
      <alignment wrapText="1"/>
    </xf>
    <xf numFmtId="0" fontId="0" fillId="0" borderId="0" xfId="0" applyAlignment="1">
      <alignment vertical="top" wrapText="1"/>
    </xf>
    <xf numFmtId="0" fontId="0" fillId="0" borderId="0" xfId="0" applyAlignment="1">
      <alignment horizontal="left" vertical="top" indent="2"/>
    </xf>
    <xf numFmtId="0" fontId="0" fillId="0" borderId="0" xfId="0" applyAlignment="1">
      <alignment horizontal="left" vertical="top" indent="1"/>
    </xf>
    <xf numFmtId="0" fontId="0" fillId="0" borderId="0" xfId="0" applyFont="1" applyAlignment="1">
      <alignment horizontal="left" vertical="center"/>
    </xf>
    <xf numFmtId="0" fontId="6" fillId="0" borderId="0" xfId="0" applyFont="1" applyAlignment="1">
      <alignment/>
    </xf>
    <xf numFmtId="172" fontId="0" fillId="0" borderId="0" xfId="0" applyNumberFormat="1" applyAlignment="1">
      <alignment wrapText="1"/>
    </xf>
    <xf numFmtId="1" fontId="5" fillId="0" borderId="0" xfId="0" applyNumberFormat="1" applyFont="1" applyAlignment="1">
      <alignment/>
    </xf>
    <xf numFmtId="18" fontId="0" fillId="0" borderId="0" xfId="0" applyNumberFormat="1" applyAlignment="1">
      <alignment/>
    </xf>
    <xf numFmtId="0" fontId="7" fillId="0" borderId="0" xfId="0" applyFont="1" applyAlignment="1">
      <alignment/>
    </xf>
    <xf numFmtId="172" fontId="5" fillId="0" borderId="0" xfId="0" applyNumberFormat="1" applyFont="1" applyAlignment="1">
      <alignment/>
    </xf>
    <xf numFmtId="0" fontId="5" fillId="0" borderId="0" xfId="0" applyFont="1" applyAlignment="1">
      <alignment/>
    </xf>
    <xf numFmtId="0" fontId="9" fillId="0" borderId="0" xfId="0" applyFont="1" applyAlignment="1">
      <alignment/>
    </xf>
    <xf numFmtId="1" fontId="9" fillId="0" borderId="0" xfId="0" applyNumberFormat="1" applyFont="1" applyAlignment="1">
      <alignment/>
    </xf>
    <xf numFmtId="172" fontId="10" fillId="0" borderId="0" xfId="0" applyNumberFormat="1" applyFont="1" applyAlignment="1">
      <alignment/>
    </xf>
    <xf numFmtId="0" fontId="0" fillId="0" borderId="0" xfId="0" applyFont="1" applyAlignment="1">
      <alignment vertical="top"/>
    </xf>
    <xf numFmtId="0" fontId="6" fillId="0" borderId="0" xfId="0" applyFont="1" applyAlignment="1">
      <alignment vertical="top"/>
    </xf>
    <xf numFmtId="0" fontId="11" fillId="2" borderId="0" xfId="0" applyFont="1" applyFill="1" applyAlignment="1">
      <alignment horizontal="left" vertical="top" wrapText="1"/>
    </xf>
    <xf numFmtId="0" fontId="12" fillId="2" borderId="0" xfId="0" applyFont="1" applyFill="1" applyAlignment="1">
      <alignment horizontal="left" vertical="top" wrapText="1"/>
    </xf>
    <xf numFmtId="0" fontId="13" fillId="2" borderId="0" xfId="20" applyFont="1" applyFill="1" applyAlignment="1">
      <alignment horizontal="left" vertical="top"/>
    </xf>
    <xf numFmtId="1" fontId="14" fillId="0" borderId="0" xfId="0" applyNumberFormat="1" applyFont="1" applyAlignment="1">
      <alignment/>
    </xf>
    <xf numFmtId="15" fontId="0" fillId="0" borderId="0" xfId="0" applyNumberFormat="1" applyAlignment="1">
      <alignment/>
    </xf>
    <xf numFmtId="172" fontId="9" fillId="0" borderId="0" xfId="0" applyNumberFormat="1" applyFont="1" applyAlignment="1">
      <alignment/>
    </xf>
    <xf numFmtId="1" fontId="15" fillId="0" borderId="0" xfId="0" applyNumberFormat="1" applyFont="1" applyAlignment="1">
      <alignment/>
    </xf>
    <xf numFmtId="1" fontId="16" fillId="0" borderId="0" xfId="0" applyNumberFormat="1" applyFont="1" applyAlignment="1">
      <alignment/>
    </xf>
    <xf numFmtId="172" fontId="10" fillId="0" borderId="0" xfId="0" applyNumberFormat="1" applyFont="1" applyAlignment="1">
      <alignment/>
    </xf>
    <xf numFmtId="1" fontId="10" fillId="0" borderId="0" xfId="0" applyNumberFormat="1" applyFont="1" applyAlignment="1">
      <alignment/>
    </xf>
    <xf numFmtId="0" fontId="0" fillId="0" borderId="0" xfId="0" applyNumberFormat="1" applyAlignment="1">
      <alignment/>
    </xf>
    <xf numFmtId="0" fontId="17" fillId="0" borderId="0" xfId="0" applyFont="1" applyBorder="1" applyAlignment="1">
      <alignment/>
    </xf>
    <xf numFmtId="0" fontId="17" fillId="2" borderId="0" xfId="0" applyFont="1" applyFill="1" applyBorder="1" applyAlignment="1">
      <alignment horizontal="left" vertical="center"/>
    </xf>
    <xf numFmtId="0" fontId="17" fillId="2" borderId="0" xfId="0" applyFont="1" applyFill="1" applyAlignment="1">
      <alignment vertical="center"/>
    </xf>
    <xf numFmtId="0" fontId="18" fillId="0" borderId="0" xfId="0" applyFont="1" applyAlignment="1">
      <alignment/>
    </xf>
    <xf numFmtId="0" fontId="0" fillId="0" borderId="1" xfId="0" applyBorder="1" applyAlignment="1">
      <alignment/>
    </xf>
    <xf numFmtId="172" fontId="0" fillId="0" borderId="1" xfId="0" applyNumberFormat="1" applyBorder="1" applyAlignment="1">
      <alignment/>
    </xf>
    <xf numFmtId="0" fontId="0" fillId="0" borderId="1" xfId="0" applyBorder="1" applyAlignment="1">
      <alignment/>
    </xf>
    <xf numFmtId="1" fontId="0" fillId="0" borderId="1" xfId="0" applyNumberFormat="1" applyBorder="1" applyAlignment="1">
      <alignment/>
    </xf>
    <xf numFmtId="0" fontId="0" fillId="0" borderId="1" xfId="0" applyFont="1" applyBorder="1" applyAlignment="1">
      <alignment/>
    </xf>
    <xf numFmtId="173" fontId="0" fillId="0" borderId="1" xfId="0" applyNumberFormat="1" applyBorder="1" applyAlignment="1">
      <alignment/>
    </xf>
    <xf numFmtId="2" fontId="9" fillId="0" borderId="0" xfId="0" applyNumberFormat="1" applyFont="1" applyAlignment="1">
      <alignment/>
    </xf>
    <xf numFmtId="1" fontId="0" fillId="0" borderId="1"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2" fontId="0" fillId="0" borderId="3" xfId="0" applyNumberForma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1" fontId="0" fillId="0" borderId="5" xfId="0" applyNumberFormat="1" applyBorder="1" applyAlignment="1">
      <alignment/>
    </xf>
    <xf numFmtId="172" fontId="0" fillId="0" borderId="5" xfId="0" applyNumberFormat="1" applyBorder="1" applyAlignment="1">
      <alignment/>
    </xf>
    <xf numFmtId="0" fontId="0" fillId="0" borderId="6" xfId="0" applyFont="1" applyBorder="1" applyAlignment="1">
      <alignment/>
    </xf>
    <xf numFmtId="2" fontId="0" fillId="0" borderId="7" xfId="0" applyNumberFormat="1" applyBorder="1" applyAlignment="1">
      <alignment/>
    </xf>
    <xf numFmtId="0" fontId="0" fillId="0" borderId="7" xfId="0" applyBorder="1" applyAlignment="1">
      <alignment/>
    </xf>
    <xf numFmtId="0" fontId="0" fillId="0" borderId="8" xfId="0" applyBorder="1" applyAlignment="1">
      <alignment/>
    </xf>
    <xf numFmtId="172" fontId="0" fillId="0" borderId="1" xfId="0" applyNumberFormat="1" applyBorder="1" applyAlignment="1">
      <alignment wrapText="1"/>
    </xf>
    <xf numFmtId="0" fontId="0" fillId="0" borderId="1" xfId="0" applyBorder="1" applyAlignment="1">
      <alignment wrapText="1"/>
    </xf>
    <xf numFmtId="172" fontId="5" fillId="0" borderId="1" xfId="0" applyNumberFormat="1" applyFont="1" applyBorder="1" applyAlignment="1">
      <alignment/>
    </xf>
    <xf numFmtId="1" fontId="5" fillId="0" borderId="1" xfId="0" applyNumberFormat="1" applyFont="1" applyBorder="1" applyAlignment="1">
      <alignment/>
    </xf>
    <xf numFmtId="172" fontId="10" fillId="0" borderId="1" xfId="0" applyNumberFormat="1" applyFont="1" applyBorder="1" applyAlignment="1">
      <alignment/>
    </xf>
    <xf numFmtId="1" fontId="14" fillId="0" borderId="1" xfId="0" applyNumberFormat="1" applyFont="1" applyBorder="1" applyAlignment="1">
      <alignment/>
    </xf>
    <xf numFmtId="1" fontId="19" fillId="0" borderId="1" xfId="0" applyNumberFormat="1" applyFont="1" applyBorder="1" applyAlignment="1">
      <alignment/>
    </xf>
    <xf numFmtId="172" fontId="9" fillId="0" borderId="1" xfId="0" applyNumberFormat="1" applyFont="1" applyBorder="1" applyAlignment="1">
      <alignment/>
    </xf>
    <xf numFmtId="1" fontId="16" fillId="0" borderId="1" xfId="0" applyNumberFormat="1" applyFont="1" applyBorder="1" applyAlignment="1">
      <alignment/>
    </xf>
    <xf numFmtId="1" fontId="9" fillId="0" borderId="1" xfId="0" applyNumberFormat="1" applyFont="1" applyBorder="1" applyAlignment="1">
      <alignment/>
    </xf>
    <xf numFmtId="0" fontId="9" fillId="0" borderId="1" xfId="0" applyFont="1" applyBorder="1" applyAlignment="1">
      <alignment/>
    </xf>
    <xf numFmtId="2" fontId="9" fillId="0" borderId="1" xfId="0" applyNumberFormat="1" applyFont="1" applyBorder="1" applyAlignment="1">
      <alignment/>
    </xf>
    <xf numFmtId="172" fontId="0" fillId="0" borderId="1" xfId="0" applyNumberFormat="1" applyFont="1" applyBorder="1" applyAlignment="1">
      <alignment/>
    </xf>
    <xf numFmtId="2" fontId="0" fillId="0" borderId="1" xfId="0" applyNumberFormat="1" applyBorder="1" applyAlignment="1">
      <alignment/>
    </xf>
    <xf numFmtId="0" fontId="10" fillId="0" borderId="1" xfId="0" applyFont="1" applyBorder="1" applyAlignment="1">
      <alignment/>
    </xf>
    <xf numFmtId="0" fontId="5" fillId="0" borderId="1" xfId="0" applyFont="1" applyBorder="1" applyAlignment="1">
      <alignment/>
    </xf>
    <xf numFmtId="0" fontId="6" fillId="0" borderId="1" xfId="0" applyFont="1" applyBorder="1" applyAlignment="1">
      <alignment/>
    </xf>
    <xf numFmtId="0" fontId="2" fillId="0" borderId="0" xfId="20" applyFont="1" applyAlignment="1">
      <alignment/>
    </xf>
    <xf numFmtId="0" fontId="0" fillId="0" borderId="0" xfId="0" applyBorder="1" applyAlignment="1">
      <alignment/>
    </xf>
    <xf numFmtId="1" fontId="0" fillId="0" borderId="0" xfId="0" applyNumberFormat="1" applyBorder="1" applyAlignment="1">
      <alignment/>
    </xf>
    <xf numFmtId="172" fontId="0" fillId="0" borderId="0" xfId="0" applyNumberFormat="1" applyBorder="1" applyAlignment="1">
      <alignment/>
    </xf>
    <xf numFmtId="0" fontId="0" fillId="0" borderId="0" xfId="0" applyFill="1" applyBorder="1" applyAlignment="1">
      <alignment/>
    </xf>
    <xf numFmtId="173" fontId="0" fillId="0" borderId="1" xfId="0" applyNumberFormat="1" applyBorder="1" applyAlignment="1">
      <alignment/>
    </xf>
    <xf numFmtId="0" fontId="0" fillId="0" borderId="1" xfId="0" applyFill="1" applyBorder="1" applyAlignment="1">
      <alignment/>
    </xf>
    <xf numFmtId="0" fontId="0" fillId="0" borderId="0" xfId="0" applyFont="1" applyAlignment="1">
      <alignment horizontal="left"/>
    </xf>
    <xf numFmtId="0" fontId="0" fillId="0" borderId="1" xfId="0" applyFont="1" applyBorder="1" applyAlignment="1">
      <alignment horizontal="left"/>
    </xf>
    <xf numFmtId="0" fontId="7" fillId="0" borderId="1" xfId="0" applyFont="1" applyBorder="1" applyAlignment="1">
      <alignment/>
    </xf>
    <xf numFmtId="173" fontId="0" fillId="0" borderId="1" xfId="0" applyNumberFormat="1" applyBorder="1" applyAlignment="1">
      <alignment horizontal="left"/>
    </xf>
    <xf numFmtId="0" fontId="0" fillId="0" borderId="4" xfId="0" applyFont="1" applyBorder="1" applyAlignment="1">
      <alignment/>
    </xf>
    <xf numFmtId="1" fontId="0" fillId="0" borderId="4" xfId="0" applyNumberFormat="1" applyBorder="1" applyAlignment="1">
      <alignment/>
    </xf>
    <xf numFmtId="0" fontId="0" fillId="0" borderId="4" xfId="0" applyBorder="1" applyAlignment="1">
      <alignment/>
    </xf>
    <xf numFmtId="2" fontId="0" fillId="0" borderId="4" xfId="0" applyNumberFormat="1" applyFont="1" applyBorder="1" applyAlignment="1">
      <alignment/>
    </xf>
    <xf numFmtId="0" fontId="0" fillId="0" borderId="9" xfId="0" applyFill="1" applyBorder="1" applyAlignment="1">
      <alignment/>
    </xf>
    <xf numFmtId="173" fontId="0" fillId="0" borderId="9" xfId="0" applyNumberFormat="1" applyFill="1" applyBorder="1" applyAlignment="1">
      <alignment horizontal="left"/>
    </xf>
    <xf numFmtId="0" fontId="20" fillId="0" borderId="1" xfId="0" applyFont="1" applyBorder="1" applyAlignment="1">
      <alignment/>
    </xf>
    <xf numFmtId="0" fontId="9" fillId="0" borderId="0" xfId="0" applyFont="1" applyAlignment="1">
      <alignment/>
    </xf>
    <xf numFmtId="1" fontId="21" fillId="0" borderId="0" xfId="0" applyNumberFormat="1" applyFont="1" applyAlignment="1">
      <alignment/>
    </xf>
    <xf numFmtId="172" fontId="9" fillId="0" borderId="1" xfId="0" applyNumberFormat="1" applyFont="1" applyBorder="1" applyAlignment="1">
      <alignment wrapText="1"/>
    </xf>
    <xf numFmtId="0" fontId="9" fillId="0" borderId="1" xfId="0" applyFont="1" applyBorder="1" applyAlignment="1">
      <alignment wrapText="1"/>
    </xf>
    <xf numFmtId="1" fontId="9" fillId="0" borderId="1" xfId="0" applyNumberFormat="1" applyFont="1" applyBorder="1" applyAlignment="1">
      <alignment/>
    </xf>
    <xf numFmtId="0" fontId="9" fillId="0" borderId="1" xfId="0" applyFont="1" applyBorder="1" applyAlignment="1">
      <alignment/>
    </xf>
    <xf numFmtId="172" fontId="9" fillId="0" borderId="1" xfId="0" applyNumberFormat="1" applyFont="1" applyBorder="1" applyAlignment="1">
      <alignment/>
    </xf>
    <xf numFmtId="1" fontId="21" fillId="0" borderId="1" xfId="0" applyNumberFormat="1" applyFont="1" applyBorder="1" applyAlignment="1">
      <alignment/>
    </xf>
    <xf numFmtId="1" fontId="10" fillId="0" borderId="1" xfId="0" applyNumberFormat="1" applyFont="1" applyBorder="1" applyAlignment="1">
      <alignment/>
    </xf>
    <xf numFmtId="173" fontId="0" fillId="0" borderId="1" xfId="0" applyNumberFormat="1" applyFill="1" applyBorder="1" applyAlignment="1">
      <alignment/>
    </xf>
    <xf numFmtId="173" fontId="0" fillId="0" borderId="1" xfId="0" applyNumberFormat="1" applyFont="1" applyFill="1" applyBorder="1" applyAlignment="1">
      <alignment/>
    </xf>
    <xf numFmtId="0" fontId="0" fillId="0" borderId="1" xfId="0" applyFont="1" applyFill="1" applyBorder="1" applyAlignment="1">
      <alignment/>
    </xf>
    <xf numFmtId="0" fontId="22" fillId="0" borderId="0" xfId="0" applyFont="1" applyAlignment="1">
      <alignment/>
    </xf>
    <xf numFmtId="1" fontId="0" fillId="0" borderId="0" xfId="0" applyNumberFormat="1" applyAlignment="1" quotePrefix="1">
      <alignment/>
    </xf>
    <xf numFmtId="0" fontId="20" fillId="0" borderId="0" xfId="0" applyFont="1" applyAlignment="1">
      <alignment/>
    </xf>
    <xf numFmtId="0" fontId="5" fillId="0" borderId="0" xfId="0" applyFont="1" applyAlignment="1" quotePrefix="1">
      <alignment/>
    </xf>
    <xf numFmtId="172" fontId="20" fillId="0" borderId="0" xfId="0" applyNumberFormat="1" applyFont="1" applyAlignment="1">
      <alignment/>
    </xf>
    <xf numFmtId="0" fontId="0" fillId="0" borderId="0" xfId="0" applyFont="1" applyBorder="1" applyAlignment="1">
      <alignment/>
    </xf>
    <xf numFmtId="0" fontId="5" fillId="0" borderId="0" xfId="0" applyFont="1" applyBorder="1" applyAlignment="1" quotePrefix="1">
      <alignment/>
    </xf>
    <xf numFmtId="1" fontId="0" fillId="0" borderId="0" xfId="0" applyNumberFormat="1" applyBorder="1" applyAlignment="1" quotePrefix="1">
      <alignment/>
    </xf>
    <xf numFmtId="172" fontId="0" fillId="0" borderId="0" xfId="0" applyNumberFormat="1" applyFont="1" applyBorder="1" applyAlignment="1">
      <alignment/>
    </xf>
    <xf numFmtId="0" fontId="0" fillId="0" borderId="2" xfId="0" applyBorder="1" applyAlignment="1">
      <alignment wrapText="1"/>
    </xf>
    <xf numFmtId="1" fontId="0" fillId="0" borderId="2" xfId="0" applyNumberFormat="1" applyBorder="1" applyAlignment="1">
      <alignment/>
    </xf>
    <xf numFmtId="0" fontId="0" fillId="0" borderId="2" xfId="0" applyBorder="1" applyAlignment="1">
      <alignment/>
    </xf>
    <xf numFmtId="0" fontId="7" fillId="0" borderId="0" xfId="0" applyFont="1" applyBorder="1" applyAlignment="1">
      <alignment/>
    </xf>
    <xf numFmtId="2" fontId="0" fillId="0" borderId="0" xfId="0" applyNumberFormat="1" applyBorder="1" applyAlignment="1">
      <alignment/>
    </xf>
    <xf numFmtId="1" fontId="0" fillId="0" borderId="0" xfId="0" applyNumberFormat="1" applyFont="1" applyBorder="1" applyAlignment="1">
      <alignment/>
    </xf>
    <xf numFmtId="0" fontId="6" fillId="0" borderId="0" xfId="0" applyFont="1" applyBorder="1" applyAlignment="1">
      <alignment/>
    </xf>
    <xf numFmtId="1" fontId="0" fillId="0" borderId="0" xfId="0" applyNumberFormat="1" applyBorder="1" applyAlignment="1">
      <alignment wrapText="1"/>
    </xf>
    <xf numFmtId="0" fontId="0" fillId="0" borderId="0" xfId="0" applyBorder="1" applyAlignment="1">
      <alignment/>
    </xf>
    <xf numFmtId="173" fontId="0" fillId="0" borderId="0" xfId="0" applyNumberFormat="1" applyBorder="1" applyAlignment="1">
      <alignment/>
    </xf>
    <xf numFmtId="173" fontId="0" fillId="0" borderId="0" xfId="0" applyNumberFormat="1" applyBorder="1" applyAlignment="1">
      <alignment/>
    </xf>
    <xf numFmtId="1" fontId="9" fillId="0" borderId="0" xfId="0" applyNumberFormat="1" applyFont="1" applyAlignment="1">
      <alignment/>
    </xf>
    <xf numFmtId="0" fontId="10" fillId="0" borderId="0" xfId="0" applyFont="1" applyAlignment="1">
      <alignment/>
    </xf>
    <xf numFmtId="0" fontId="10" fillId="0" borderId="0" xfId="0" applyFont="1" applyAlignment="1">
      <alignment/>
    </xf>
    <xf numFmtId="1" fontId="10" fillId="0" borderId="0" xfId="0" applyNumberFormat="1" applyFont="1" applyAlignment="1">
      <alignment/>
    </xf>
    <xf numFmtId="172" fontId="10" fillId="0" borderId="0" xfId="0" applyNumberFormat="1" applyFont="1" applyAlignment="1">
      <alignment/>
    </xf>
    <xf numFmtId="1" fontId="23" fillId="0" borderId="0" xfId="0" applyNumberFormat="1" applyFont="1" applyAlignment="1">
      <alignment/>
    </xf>
    <xf numFmtId="0" fontId="0" fillId="0" borderId="1" xfId="0" applyFill="1" applyBorder="1" applyAlignment="1">
      <alignment/>
    </xf>
    <xf numFmtId="0" fontId="0" fillId="0" borderId="1" xfId="0" applyFont="1" applyFill="1" applyBorder="1" applyAlignment="1">
      <alignment/>
    </xf>
    <xf numFmtId="173" fontId="0" fillId="0" borderId="0" xfId="0" applyNumberFormat="1" applyFill="1" applyBorder="1" applyAlignment="1">
      <alignment/>
    </xf>
    <xf numFmtId="0" fontId="0" fillId="0" borderId="0" xfId="0" applyFill="1" applyBorder="1" applyAlignment="1">
      <alignment/>
    </xf>
    <xf numFmtId="0" fontId="25" fillId="0" borderId="0" xfId="0" applyFont="1" applyAlignment="1">
      <alignment/>
    </xf>
    <xf numFmtId="0" fontId="0"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73" fontId="0" fillId="0" borderId="6" xfId="0" applyNumberFormat="1" applyFill="1" applyBorder="1" applyAlignment="1">
      <alignment/>
    </xf>
    <xf numFmtId="173" fontId="0" fillId="0" borderId="13" xfId="0" applyNumberFormat="1" applyFill="1" applyBorder="1" applyAlignment="1">
      <alignment/>
    </xf>
    <xf numFmtId="173" fontId="0" fillId="0" borderId="14" xfId="0" applyNumberFormat="1" applyFill="1" applyBorder="1" applyAlignment="1">
      <alignment/>
    </xf>
    <xf numFmtId="0" fontId="0" fillId="0" borderId="15" xfId="0" applyBorder="1" applyAlignment="1">
      <alignment/>
    </xf>
    <xf numFmtId="172" fontId="0" fillId="0" borderId="1" xfId="0" applyNumberFormat="1" applyFill="1" applyBorder="1" applyAlignment="1">
      <alignment/>
    </xf>
    <xf numFmtId="1" fontId="0" fillId="0" borderId="0" xfId="0" applyNumberFormat="1" applyFont="1" applyAlignment="1">
      <alignment/>
    </xf>
    <xf numFmtId="0" fontId="0" fillId="0" borderId="0" xfId="0" applyFont="1" applyAlignment="1">
      <alignment/>
    </xf>
    <xf numFmtId="172" fontId="0" fillId="0" borderId="0" xfId="0" applyNumberFormat="1" applyFont="1" applyAlignment="1">
      <alignment/>
    </xf>
    <xf numFmtId="0" fontId="0" fillId="0" borderId="0" xfId="0" applyFont="1" applyAlignment="1">
      <alignment/>
    </xf>
    <xf numFmtId="172" fontId="5" fillId="0" borderId="0" xfId="0" applyNumberFormat="1" applyFont="1" applyAlignment="1">
      <alignment/>
    </xf>
    <xf numFmtId="1" fontId="0" fillId="0" borderId="0" xfId="0" applyNumberFormat="1" applyFont="1" applyAlignment="1">
      <alignment/>
    </xf>
    <xf numFmtId="1" fontId="5" fillId="0" borderId="0" xfId="0" applyNumberFormat="1" applyFont="1" applyAlignment="1">
      <alignment/>
    </xf>
    <xf numFmtId="172" fontId="9" fillId="0" borderId="0" xfId="0" applyNumberFormat="1" applyFont="1" applyAlignment="1">
      <alignment/>
    </xf>
    <xf numFmtId="172" fontId="0" fillId="0" borderId="0" xfId="0" applyNumberFormat="1" applyFont="1" applyAlignment="1">
      <alignment/>
    </xf>
    <xf numFmtId="0" fontId="0" fillId="0" borderId="0" xfId="0" applyFont="1" applyAlignment="1">
      <alignment/>
    </xf>
    <xf numFmtId="1" fontId="0" fillId="0" borderId="4" xfId="0" applyNumberFormat="1" applyFont="1" applyBorder="1" applyAlignment="1">
      <alignment/>
    </xf>
    <xf numFmtId="0" fontId="0" fillId="0" borderId="16" xfId="0" applyBorder="1" applyAlignment="1">
      <alignment/>
    </xf>
    <xf numFmtId="178" fontId="0" fillId="0" borderId="0" xfId="0" applyNumberFormat="1" applyAlignment="1">
      <alignment/>
    </xf>
    <xf numFmtId="0" fontId="0" fillId="0" borderId="17" xfId="0" applyBorder="1" applyAlignment="1">
      <alignment/>
    </xf>
    <xf numFmtId="0" fontId="0" fillId="0" borderId="0" xfId="0" applyFont="1" applyBorder="1" applyAlignment="1">
      <alignment/>
    </xf>
    <xf numFmtId="0" fontId="0" fillId="0" borderId="18" xfId="0" applyBorder="1" applyAlignment="1">
      <alignment/>
    </xf>
    <xf numFmtId="173" fontId="0" fillId="0" borderId="4" xfId="0" applyNumberFormat="1" applyBorder="1" applyAlignment="1">
      <alignment/>
    </xf>
    <xf numFmtId="0" fontId="0" fillId="0" borderId="0" xfId="0" applyFont="1" applyBorder="1" applyAlignment="1">
      <alignment/>
    </xf>
    <xf numFmtId="172" fontId="0" fillId="0" borderId="16" xfId="0" applyNumberFormat="1" applyBorder="1" applyAlignment="1">
      <alignment/>
    </xf>
    <xf numFmtId="0" fontId="0" fillId="0" borderId="1" xfId="0" applyFont="1" applyFill="1" applyBorder="1" applyAlignment="1">
      <alignment/>
    </xf>
    <xf numFmtId="1" fontId="0" fillId="0" borderId="1" xfId="0" applyNumberFormat="1" applyFill="1" applyBorder="1" applyAlignment="1">
      <alignment/>
    </xf>
    <xf numFmtId="0" fontId="0" fillId="0" borderId="5" xfId="0" applyFill="1" applyBorder="1" applyAlignment="1">
      <alignment/>
    </xf>
    <xf numFmtId="2" fontId="0" fillId="0" borderId="5" xfId="0" applyNumberFormat="1" applyBorder="1" applyAlignment="1">
      <alignment/>
    </xf>
    <xf numFmtId="0" fontId="0" fillId="0" borderId="16" xfId="0" applyFill="1" applyBorder="1" applyAlignment="1">
      <alignment/>
    </xf>
    <xf numFmtId="1" fontId="0" fillId="0" borderId="16" xfId="0" applyNumberFormat="1" applyBorder="1" applyAlignment="1">
      <alignment/>
    </xf>
    <xf numFmtId="2" fontId="0" fillId="0" borderId="16" xfId="0" applyNumberFormat="1" applyBorder="1" applyAlignment="1">
      <alignment/>
    </xf>
    <xf numFmtId="0" fontId="0" fillId="0" borderId="5" xfId="0" applyBorder="1" applyAlignment="1">
      <alignment/>
    </xf>
    <xf numFmtId="173" fontId="0" fillId="0" borderId="16" xfId="0" applyNumberFormat="1" applyFill="1" applyBorder="1" applyAlignment="1">
      <alignment/>
    </xf>
    <xf numFmtId="0" fontId="9" fillId="0" borderId="15" xfId="0" applyFon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1" fontId="0" fillId="0" borderId="21" xfId="0" applyNumberFormat="1" applyBorder="1" applyAlignment="1">
      <alignment/>
    </xf>
    <xf numFmtId="1" fontId="0" fillId="0" borderId="8" xfId="0" applyNumberFormat="1" applyBorder="1" applyAlignment="1">
      <alignment/>
    </xf>
    <xf numFmtId="172" fontId="0" fillId="0" borderId="4" xfId="0" applyNumberFormat="1" applyBorder="1" applyAlignment="1">
      <alignment/>
    </xf>
    <xf numFmtId="2" fontId="0" fillId="0" borderId="4" xfId="0" applyNumberFormat="1" applyBorder="1" applyAlignment="1">
      <alignment/>
    </xf>
    <xf numFmtId="0" fontId="0" fillId="0" borderId="4" xfId="0" applyFill="1" applyBorder="1" applyAlignment="1">
      <alignment/>
    </xf>
    <xf numFmtId="0" fontId="0" fillId="0" borderId="8" xfId="0" applyFill="1" applyBorder="1" applyAlignment="1">
      <alignment/>
    </xf>
    <xf numFmtId="0" fontId="0" fillId="0" borderId="12" xfId="0" applyFill="1" applyBorder="1" applyAlignment="1">
      <alignment/>
    </xf>
    <xf numFmtId="0" fontId="9" fillId="0" borderId="12" xfId="0" applyFont="1" applyBorder="1" applyAlignment="1">
      <alignment/>
    </xf>
    <xf numFmtId="0" fontId="9" fillId="0" borderId="4" xfId="0" applyFont="1" applyBorder="1" applyAlignment="1">
      <alignment/>
    </xf>
    <xf numFmtId="0" fontId="9" fillId="0" borderId="1" xfId="0" applyFont="1" applyFill="1" applyBorder="1" applyAlignment="1">
      <alignment/>
    </xf>
    <xf numFmtId="0" fontId="0" fillId="0" borderId="10" xfId="0" applyFill="1" applyBorder="1" applyAlignment="1">
      <alignment/>
    </xf>
    <xf numFmtId="0" fontId="0" fillId="0" borderId="6" xfId="0" applyBorder="1" applyAlignment="1">
      <alignment/>
    </xf>
    <xf numFmtId="2" fontId="0" fillId="0" borderId="8" xfId="0" applyNumberFormat="1" applyBorder="1" applyAlignment="1">
      <alignment/>
    </xf>
    <xf numFmtId="1" fontId="0" fillId="0" borderId="13" xfId="0" applyNumberFormat="1" applyBorder="1" applyAlignment="1">
      <alignment/>
    </xf>
    <xf numFmtId="172" fontId="0" fillId="0" borderId="10" xfId="0" applyNumberFormat="1" applyBorder="1" applyAlignment="1">
      <alignment/>
    </xf>
    <xf numFmtId="1" fontId="0" fillId="0" borderId="14" xfId="0" applyNumberFormat="1" applyBorder="1" applyAlignment="1">
      <alignment/>
    </xf>
    <xf numFmtId="172" fontId="0" fillId="0" borderId="11" xfId="0" applyNumberFormat="1" applyBorder="1" applyAlignment="1">
      <alignment/>
    </xf>
    <xf numFmtId="2" fontId="0" fillId="0" borderId="12" xfId="0" applyNumberFormat="1" applyBorder="1" applyAlignment="1">
      <alignment/>
    </xf>
    <xf numFmtId="0" fontId="0" fillId="0" borderId="9" xfId="0" applyFill="1" applyBorder="1" applyAlignment="1">
      <alignment/>
    </xf>
    <xf numFmtId="0" fontId="9" fillId="0" borderId="5" xfId="0" applyFont="1" applyBorder="1" applyAlignment="1">
      <alignment/>
    </xf>
    <xf numFmtId="182" fontId="0" fillId="0" borderId="0" xfId="0" applyNumberFormat="1" applyAlignment="1">
      <alignment/>
    </xf>
    <xf numFmtId="182" fontId="10" fillId="0" borderId="0" xfId="0" applyNumberFormat="1" applyFont="1" applyAlignment="1">
      <alignment/>
    </xf>
    <xf numFmtId="9" fontId="0" fillId="0" borderId="0" xfId="0" applyNumberFormat="1" applyAlignment="1">
      <alignment/>
    </xf>
    <xf numFmtId="0" fontId="0" fillId="0" borderId="0" xfId="0" applyBorder="1" applyAlignment="1" quotePrefix="1">
      <alignment/>
    </xf>
    <xf numFmtId="1" fontId="1" fillId="0" borderId="0" xfId="0" applyNumberFormat="1" applyFont="1" applyBorder="1" applyAlignment="1">
      <alignment/>
    </xf>
    <xf numFmtId="173" fontId="0" fillId="0" borderId="0" xfId="0" applyNumberFormat="1" applyFill="1" applyBorder="1" applyAlignment="1">
      <alignment/>
    </xf>
    <xf numFmtId="172" fontId="0" fillId="0" borderId="0" xfId="0" applyNumberFormat="1" applyFill="1" applyBorder="1" applyAlignment="1">
      <alignment/>
    </xf>
    <xf numFmtId="0" fontId="0" fillId="0" borderId="0" xfId="0" applyFont="1" applyFill="1" applyBorder="1" applyAlignment="1">
      <alignment/>
    </xf>
    <xf numFmtId="172" fontId="1" fillId="0" borderId="0" xfId="0" applyNumberFormat="1" applyFont="1" applyBorder="1" applyAlignment="1">
      <alignment/>
    </xf>
    <xf numFmtId="172" fontId="9" fillId="0" borderId="0" xfId="0" applyNumberFormat="1" applyFont="1" applyBorder="1" applyAlignment="1">
      <alignment/>
    </xf>
    <xf numFmtId="1" fontId="0" fillId="0" borderId="0" xfId="0" applyNumberFormat="1" applyFill="1" applyBorder="1" applyAlignment="1">
      <alignment/>
    </xf>
    <xf numFmtId="0" fontId="9" fillId="0" borderId="0" xfId="0" applyFont="1" applyBorder="1" applyAlignment="1">
      <alignment/>
    </xf>
    <xf numFmtId="0" fontId="17" fillId="2" borderId="0" xfId="0" applyFont="1" applyFill="1" applyBorder="1" applyAlignment="1">
      <alignment vertical="center"/>
    </xf>
    <xf numFmtId="182" fontId="0" fillId="0" borderId="0" xfId="0" applyNumberFormat="1" applyBorder="1" applyAlignment="1">
      <alignment/>
    </xf>
    <xf numFmtId="182" fontId="10" fillId="0" borderId="0" xfId="0" applyNumberFormat="1" applyFont="1" applyBorder="1" applyAlignment="1">
      <alignment/>
    </xf>
    <xf numFmtId="0" fontId="2" fillId="0" borderId="0" xfId="20" applyAlignment="1">
      <alignment/>
    </xf>
    <xf numFmtId="0" fontId="16" fillId="0" borderId="0" xfId="0" applyFont="1" applyAlignment="1">
      <alignment/>
    </xf>
    <xf numFmtId="1" fontId="0" fillId="0" borderId="0" xfId="0" applyNumberFormat="1" applyFont="1" applyAlignment="1">
      <alignment/>
    </xf>
    <xf numFmtId="1" fontId="0" fillId="0" borderId="1" xfId="0" applyNumberFormat="1" applyBorder="1" applyAlignment="1">
      <alignment wrapText="1"/>
    </xf>
    <xf numFmtId="172" fontId="0" fillId="0" borderId="2" xfId="0" applyNumberFormat="1" applyBorder="1" applyAlignment="1">
      <alignment/>
    </xf>
    <xf numFmtId="173" fontId="0" fillId="0" borderId="2" xfId="0" applyNumberFormat="1" applyBorder="1" applyAlignment="1">
      <alignment/>
    </xf>
    <xf numFmtId="173" fontId="0" fillId="0" borderId="2" xfId="0" applyNumberFormat="1" applyBorder="1" applyAlignment="1">
      <alignment/>
    </xf>
    <xf numFmtId="0" fontId="0" fillId="0" borderId="2" xfId="0" applyBorder="1" applyAlignment="1">
      <alignment/>
    </xf>
    <xf numFmtId="173" fontId="0" fillId="0" borderId="2" xfId="0" applyNumberFormat="1" applyFill="1" applyBorder="1" applyAlignment="1">
      <alignment/>
    </xf>
    <xf numFmtId="173" fontId="0" fillId="0" borderId="2" xfId="0" applyNumberFormat="1" applyFill="1" applyBorder="1" applyAlignment="1">
      <alignment/>
    </xf>
    <xf numFmtId="0" fontId="0" fillId="0" borderId="2" xfId="0" applyFill="1" applyBorder="1" applyAlignment="1">
      <alignment/>
    </xf>
    <xf numFmtId="0" fontId="0" fillId="0" borderId="2" xfId="0" applyFill="1" applyBorder="1" applyAlignment="1">
      <alignment/>
    </xf>
    <xf numFmtId="0" fontId="0" fillId="0" borderId="2" xfId="0" applyFont="1" applyBorder="1" applyAlignment="1">
      <alignment/>
    </xf>
    <xf numFmtId="0" fontId="0" fillId="0" borderId="2" xfId="0" applyFont="1" applyFill="1" applyBorder="1" applyAlignment="1">
      <alignment/>
    </xf>
    <xf numFmtId="0" fontId="0" fillId="0" borderId="14" xfId="0" applyBorder="1" applyAlignment="1">
      <alignment/>
    </xf>
    <xf numFmtId="0" fontId="0" fillId="0" borderId="6" xfId="0" applyBorder="1" applyAlignment="1">
      <alignment/>
    </xf>
    <xf numFmtId="1" fontId="0" fillId="0" borderId="12" xfId="0" applyNumberFormat="1" applyBorder="1" applyAlignment="1">
      <alignment/>
    </xf>
    <xf numFmtId="0" fontId="0" fillId="0" borderId="14" xfId="0" applyBorder="1" applyAlignment="1">
      <alignment/>
    </xf>
    <xf numFmtId="172" fontId="0" fillId="0" borderId="9" xfId="0" applyNumberFormat="1" applyBorder="1" applyAlignment="1">
      <alignment/>
    </xf>
    <xf numFmtId="2" fontId="0" fillId="0" borderId="9" xfId="0" applyNumberFormat="1" applyBorder="1" applyAlignment="1">
      <alignment/>
    </xf>
    <xf numFmtId="0" fontId="0" fillId="0" borderId="13" xfId="0" applyBorder="1" applyAlignment="1">
      <alignment/>
    </xf>
    <xf numFmtId="1" fontId="0" fillId="0" borderId="10" xfId="0" applyNumberFormat="1" applyBorder="1" applyAlignment="1">
      <alignment/>
    </xf>
    <xf numFmtId="0" fontId="0" fillId="0" borderId="25" xfId="0" applyBorder="1" applyAlignment="1">
      <alignment/>
    </xf>
    <xf numFmtId="0" fontId="0" fillId="0" borderId="24" xfId="0" applyFill="1" applyBorder="1" applyAlignment="1">
      <alignment/>
    </xf>
    <xf numFmtId="0" fontId="9" fillId="0" borderId="8" xfId="0" applyFont="1" applyBorder="1" applyAlignment="1">
      <alignment/>
    </xf>
    <xf numFmtId="0" fontId="0" fillId="0" borderId="3" xfId="0" applyFont="1" applyBorder="1" applyAlignment="1">
      <alignment/>
    </xf>
    <xf numFmtId="0" fontId="0" fillId="0" borderId="3" xfId="0" applyBorder="1" applyAlignment="1">
      <alignment/>
    </xf>
    <xf numFmtId="0" fontId="0" fillId="0" borderId="3" xfId="0" applyFill="1" applyBorder="1" applyAlignment="1">
      <alignment/>
    </xf>
    <xf numFmtId="0" fontId="0" fillId="0" borderId="3" xfId="0" applyFill="1" applyBorder="1" applyAlignment="1">
      <alignment/>
    </xf>
    <xf numFmtId="0" fontId="0" fillId="0" borderId="3" xfId="0" applyFont="1" applyBorder="1" applyAlignment="1">
      <alignment/>
    </xf>
    <xf numFmtId="0" fontId="0" fillId="0" borderId="3" xfId="0" applyFont="1" applyFill="1" applyBorder="1" applyAlignment="1">
      <alignment/>
    </xf>
    <xf numFmtId="173" fontId="0" fillId="0" borderId="3" xfId="0" applyNumberFormat="1" applyBorder="1" applyAlignment="1">
      <alignment/>
    </xf>
    <xf numFmtId="173" fontId="0" fillId="0" borderId="3" xfId="0" applyNumberFormat="1" applyFill="1" applyBorder="1" applyAlignment="1">
      <alignment/>
    </xf>
    <xf numFmtId="1" fontId="26" fillId="0" borderId="5" xfId="0" applyNumberFormat="1" applyFont="1" applyBorder="1" applyAlignment="1">
      <alignment/>
    </xf>
    <xf numFmtId="0" fontId="5" fillId="0" borderId="3" xfId="0" applyFont="1" applyBorder="1" applyAlignment="1">
      <alignment/>
    </xf>
    <xf numFmtId="0" fontId="0" fillId="0" borderId="0" xfId="0" applyAlignment="1">
      <alignment vertical="center"/>
    </xf>
    <xf numFmtId="172" fontId="0" fillId="0" borderId="0" xfId="0" applyNumberFormat="1" applyAlignment="1">
      <alignment vertical="center" wrapText="1"/>
    </xf>
    <xf numFmtId="0" fontId="0" fillId="0" borderId="0" xfId="0" applyAlignment="1">
      <alignment vertical="center" wrapText="1"/>
    </xf>
    <xf numFmtId="1" fontId="25" fillId="0" borderId="0" xfId="0" applyNumberFormat="1" applyFont="1" applyAlignment="1">
      <alignment/>
    </xf>
    <xf numFmtId="1" fontId="26" fillId="0" borderId="0" xfId="0" applyNumberFormat="1" applyFont="1" applyAlignment="1">
      <alignment/>
    </xf>
    <xf numFmtId="0" fontId="9" fillId="0" borderId="0" xfId="0" applyFont="1" applyAlignment="1">
      <alignment vertical="center"/>
    </xf>
    <xf numFmtId="1" fontId="10" fillId="0" borderId="19" xfId="0" applyNumberFormat="1" applyFont="1" applyBorder="1" applyAlignment="1">
      <alignment/>
    </xf>
    <xf numFmtId="1" fontId="10" fillId="0" borderId="17" xfId="0" applyNumberFormat="1" applyFont="1" applyBorder="1" applyAlignment="1">
      <alignment/>
    </xf>
    <xf numFmtId="1" fontId="0" fillId="0" borderId="17" xfId="0" applyNumberFormat="1" applyBorder="1" applyAlignment="1">
      <alignment/>
    </xf>
    <xf numFmtId="1" fontId="9" fillId="0" borderId="21" xfId="0" applyNumberFormat="1" applyFont="1" applyBorder="1" applyAlignment="1">
      <alignment/>
    </xf>
    <xf numFmtId="1" fontId="10" fillId="0" borderId="0" xfId="0" applyNumberFormat="1" applyFont="1" applyBorder="1" applyAlignment="1">
      <alignment/>
    </xf>
    <xf numFmtId="1" fontId="9" fillId="0" borderId="0" xfId="0" applyNumberFormat="1" applyFont="1" applyBorder="1" applyAlignment="1">
      <alignment/>
    </xf>
    <xf numFmtId="172" fontId="9" fillId="0" borderId="18" xfId="0" applyNumberFormat="1" applyFont="1" applyBorder="1" applyAlignment="1">
      <alignment/>
    </xf>
    <xf numFmtId="0" fontId="5" fillId="0" borderId="0" xfId="0" applyFont="1" applyAlignment="1">
      <alignment vertical="center" wrapText="1"/>
    </xf>
    <xf numFmtId="0" fontId="5" fillId="0" borderId="0" xfId="0" applyFont="1" applyBorder="1" applyAlignment="1">
      <alignment/>
    </xf>
    <xf numFmtId="0" fontId="28" fillId="0" borderId="0" xfId="0" applyFont="1" applyAlignment="1">
      <alignment/>
    </xf>
    <xf numFmtId="0" fontId="0" fillId="0" borderId="0" xfId="0" applyAlignment="1">
      <alignment horizontal="right" wrapText="1"/>
    </xf>
    <xf numFmtId="0" fontId="5" fillId="0" borderId="0" xfId="0" applyFont="1" applyAlignment="1">
      <alignment/>
    </xf>
    <xf numFmtId="1" fontId="0" fillId="0" borderId="16" xfId="0" applyNumberFormat="1" applyFont="1" applyBorder="1" applyAlignment="1">
      <alignment/>
    </xf>
    <xf numFmtId="1" fontId="0" fillId="0" borderId="5" xfId="0" applyNumberFormat="1" applyFont="1" applyBorder="1" applyAlignment="1">
      <alignment/>
    </xf>
    <xf numFmtId="1" fontId="0" fillId="0" borderId="19" xfId="0" applyNumberFormat="1" applyBorder="1" applyAlignment="1">
      <alignment/>
    </xf>
    <xf numFmtId="1" fontId="0" fillId="0" borderId="18" xfId="0" applyNumberFormat="1" applyBorder="1" applyAlignment="1">
      <alignment/>
    </xf>
    <xf numFmtId="1" fontId="0" fillId="0" borderId="24" xfId="0" applyNumberFormat="1" applyBorder="1" applyAlignment="1">
      <alignment/>
    </xf>
    <xf numFmtId="1" fontId="1" fillId="0" borderId="23" xfId="0" applyNumberFormat="1" applyFont="1" applyBorder="1" applyAlignment="1">
      <alignment/>
    </xf>
    <xf numFmtId="10" fontId="0" fillId="0" borderId="0" xfId="0" applyNumberFormat="1" applyAlignment="1">
      <alignment/>
    </xf>
    <xf numFmtId="0" fontId="9" fillId="0" borderId="16" xfId="0" applyFont="1" applyBorder="1" applyAlignment="1">
      <alignment/>
    </xf>
    <xf numFmtId="172" fontId="0" fillId="0" borderId="2" xfId="0" applyNumberFormat="1" applyFill="1" applyBorder="1" applyAlignment="1">
      <alignment/>
    </xf>
    <xf numFmtId="0" fontId="29" fillId="0" borderId="0" xfId="0" applyFont="1" applyAlignment="1">
      <alignment/>
    </xf>
    <xf numFmtId="0" fontId="11" fillId="0" borderId="0" xfId="0" applyFont="1" applyAlignment="1">
      <alignment/>
    </xf>
    <xf numFmtId="182" fontId="9" fillId="0" borderId="0" xfId="0" applyNumberFormat="1" applyFont="1" applyAlignment="1">
      <alignment/>
    </xf>
    <xf numFmtId="8" fontId="0" fillId="0" borderId="0" xfId="0" applyNumberFormat="1" applyAlignment="1">
      <alignment/>
    </xf>
    <xf numFmtId="0" fontId="0" fillId="0" borderId="2" xfId="0" applyFont="1" applyFill="1" applyBorder="1" applyAlignment="1">
      <alignment/>
    </xf>
    <xf numFmtId="0" fontId="30" fillId="0" borderId="0" xfId="0" applyFont="1" applyAlignment="1">
      <alignment/>
    </xf>
    <xf numFmtId="0" fontId="31" fillId="0" borderId="0" xfId="0" applyFont="1" applyAlignment="1">
      <alignment/>
    </xf>
    <xf numFmtId="0" fontId="0" fillId="0" borderId="15" xfId="0" applyFill="1" applyBorder="1" applyAlignment="1">
      <alignment/>
    </xf>
    <xf numFmtId="0" fontId="0" fillId="0" borderId="13" xfId="0" applyFill="1" applyBorder="1" applyAlignment="1">
      <alignment/>
    </xf>
    <xf numFmtId="0" fontId="0" fillId="0" borderId="15" xfId="0" applyBorder="1" applyAlignment="1" quotePrefix="1">
      <alignment/>
    </xf>
    <xf numFmtId="0" fontId="0" fillId="0" borderId="16" xfId="0" applyFill="1" applyBorder="1" applyAlignment="1" quotePrefix="1">
      <alignment/>
    </xf>
    <xf numFmtId="0" fontId="0" fillId="0" borderId="1" xfId="0" applyFill="1" applyBorder="1" applyAlignment="1" quotePrefix="1">
      <alignment/>
    </xf>
    <xf numFmtId="1" fontId="0" fillId="0" borderId="4" xfId="0" applyNumberFormat="1" applyBorder="1" applyAlignment="1" quotePrefix="1">
      <alignment/>
    </xf>
    <xf numFmtId="0" fontId="0" fillId="0" borderId="1" xfId="0" applyBorder="1" applyAlignment="1" quotePrefix="1">
      <alignment/>
    </xf>
    <xf numFmtId="1" fontId="0" fillId="0" borderId="1" xfId="0" applyNumberFormat="1" applyBorder="1" applyAlignment="1" quotePrefix="1">
      <alignment/>
    </xf>
    <xf numFmtId="0" fontId="0" fillId="0" borderId="7" xfId="0" applyFill="1" applyBorder="1" applyAlignment="1">
      <alignment/>
    </xf>
    <xf numFmtId="0" fontId="0" fillId="0" borderId="1" xfId="0" applyFill="1" applyBorder="1" applyAlignment="1">
      <alignment horizontal="center" vertical="center"/>
    </xf>
    <xf numFmtId="1" fontId="0" fillId="0" borderId="1" xfId="0" applyNumberFormat="1" applyBorder="1" applyAlignment="1">
      <alignment horizontal="center" vertical="center"/>
    </xf>
    <xf numFmtId="172" fontId="0" fillId="0" borderId="1" xfId="0" applyNumberFormat="1" applyBorder="1" applyAlignment="1">
      <alignment horizontal="center" vertical="center"/>
    </xf>
    <xf numFmtId="1" fontId="0" fillId="0" borderId="5" xfId="0" applyNumberFormat="1" applyBorder="1" applyAlignment="1">
      <alignment horizontal="center" vertical="center"/>
    </xf>
    <xf numFmtId="1" fontId="0" fillId="0" borderId="9" xfId="0" applyNumberFormat="1" applyBorder="1" applyAlignment="1">
      <alignment horizontal="center" vertical="center"/>
    </xf>
    <xf numFmtId="172" fontId="0" fillId="0" borderId="5" xfId="0" applyNumberFormat="1" applyBorder="1" applyAlignment="1">
      <alignment horizontal="center" vertical="center"/>
    </xf>
    <xf numFmtId="172" fontId="0" fillId="0" borderId="9" xfId="0" applyNumberFormat="1" applyBorder="1" applyAlignment="1">
      <alignment horizontal="center" vertical="center"/>
    </xf>
    <xf numFmtId="0" fontId="2" fillId="0" borderId="0" xfId="20" applyAlignment="1">
      <alignment horizontal="center" wrapText="1"/>
    </xf>
    <xf numFmtId="0" fontId="0" fillId="0" borderId="12" xfId="0"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16" xfId="0" applyFill="1" applyBorder="1" applyAlignment="1">
      <alignment horizontal="center" vertical="center"/>
    </xf>
    <xf numFmtId="0" fontId="0" fillId="0" borderId="26"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oc.edu/staff/phil.heffington/gearcomparisons.htm" TargetMode="External" /><Relationship Id="rId2" Type="http://schemas.openxmlformats.org/officeDocument/2006/relationships/hyperlink" Target="http://gearshop.com/"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151"/>
  <sheetViews>
    <sheetView tabSelected="1" view="pageBreakPreview" zoomScale="60" workbookViewId="0" topLeftCell="A1">
      <pane ySplit="2" topLeftCell="BM66" activePane="bottomLeft" state="frozen"/>
      <selection pane="topLeft" activeCell="A1" sqref="A1"/>
      <selection pane="bottomLeft" activeCell="B137" sqref="B137"/>
    </sheetView>
  </sheetViews>
  <sheetFormatPr defaultColWidth="9.140625" defaultRowHeight="12.75"/>
  <cols>
    <col min="1" max="1" width="10.140625" style="0" customWidth="1"/>
    <col min="2" max="2" width="6.00390625" style="0" bestFit="1" customWidth="1"/>
    <col min="3" max="3" width="5.00390625" style="0" customWidth="1"/>
    <col min="4" max="4" width="5.421875" style="0" customWidth="1"/>
    <col min="7" max="7" width="8.57421875" style="0" customWidth="1"/>
  </cols>
  <sheetData>
    <row r="1" spans="1:8" ht="12.75">
      <c r="A1" s="54"/>
      <c r="B1" s="54"/>
      <c r="C1" s="54"/>
      <c r="D1" s="54"/>
      <c r="E1" s="132" t="s">
        <v>722</v>
      </c>
      <c r="F1" s="72"/>
      <c r="G1" s="72"/>
      <c r="H1" s="92"/>
    </row>
    <row r="2" spans="1:15" ht="13.5" thickBot="1">
      <c r="A2" s="67" t="s">
        <v>1131</v>
      </c>
      <c r="B2" s="54" t="s">
        <v>1132</v>
      </c>
      <c r="C2" s="54" t="s">
        <v>1265</v>
      </c>
      <c r="D2" s="54" t="s">
        <v>1133</v>
      </c>
      <c r="E2" s="132" t="s">
        <v>1135</v>
      </c>
      <c r="F2" s="65"/>
      <c r="G2" s="65"/>
      <c r="H2" s="92"/>
      <c r="I2" s="92"/>
      <c r="J2" s="92"/>
      <c r="K2" s="92"/>
      <c r="L2" s="92"/>
      <c r="M2" s="92"/>
      <c r="N2" s="92"/>
      <c r="O2" s="92"/>
    </row>
    <row r="3" spans="1:18" ht="13.5" thickBot="1">
      <c r="A3" s="159"/>
      <c r="B3" s="171">
        <v>32</v>
      </c>
      <c r="C3" s="55">
        <f>B3/28.349523</f>
        <v>1.1287667873635827</v>
      </c>
      <c r="D3" s="55">
        <f>C3/16</f>
        <v>0.07054792421022392</v>
      </c>
      <c r="E3" s="237" t="s">
        <v>1709</v>
      </c>
      <c r="F3" s="65"/>
      <c r="G3" s="65"/>
      <c r="H3" s="92"/>
      <c r="I3" s="92"/>
      <c r="J3" s="92"/>
      <c r="K3" s="92"/>
      <c r="L3" s="92"/>
      <c r="M3" s="92"/>
      <c r="N3" s="92"/>
      <c r="O3" s="92"/>
      <c r="P3" s="92"/>
      <c r="Q3" s="92"/>
      <c r="R3" s="92"/>
    </row>
    <row r="4" spans="1:18" ht="13.5" thickBot="1">
      <c r="A4" s="159"/>
      <c r="B4" s="103">
        <v>57</v>
      </c>
      <c r="C4" s="55">
        <f>B4/28.349523</f>
        <v>2.010615839991382</v>
      </c>
      <c r="D4" s="55">
        <f>C4/16</f>
        <v>0.12566348999946136</v>
      </c>
      <c r="E4" s="132" t="s">
        <v>838</v>
      </c>
      <c r="F4" s="65"/>
      <c r="G4" s="65"/>
      <c r="H4" s="92"/>
      <c r="I4" s="92"/>
      <c r="J4" s="92"/>
      <c r="K4" s="92"/>
      <c r="L4" s="92"/>
      <c r="M4" s="92"/>
      <c r="O4" s="92"/>
      <c r="P4" s="92"/>
      <c r="Q4" s="92"/>
      <c r="R4" s="92"/>
    </row>
    <row r="5" spans="1:18" ht="13.5" thickBot="1">
      <c r="A5" s="159"/>
      <c r="B5" s="103">
        <v>5</v>
      </c>
      <c r="C5" s="55"/>
      <c r="D5" s="55"/>
      <c r="E5" s="238" t="s">
        <v>2081</v>
      </c>
      <c r="F5" s="65"/>
      <c r="G5" s="65"/>
      <c r="H5" s="92"/>
      <c r="I5" s="92"/>
      <c r="J5" s="92"/>
      <c r="K5" s="92"/>
      <c r="L5" s="92"/>
      <c r="M5" s="92"/>
      <c r="O5" s="92"/>
      <c r="P5" s="92"/>
      <c r="Q5" s="92"/>
      <c r="R5" s="92"/>
    </row>
    <row r="6" spans="1:18" ht="12.75">
      <c r="A6" s="172" t="s">
        <v>349</v>
      </c>
      <c r="B6" s="103">
        <v>3</v>
      </c>
      <c r="C6" s="55"/>
      <c r="D6" s="55"/>
      <c r="E6" s="238" t="s">
        <v>1079</v>
      </c>
      <c r="F6" s="65"/>
      <c r="G6" s="92"/>
      <c r="H6" s="92"/>
      <c r="I6" s="92"/>
      <c r="J6" s="92"/>
      <c r="K6" s="92"/>
      <c r="L6" s="92"/>
      <c r="M6" s="92"/>
      <c r="O6" s="92"/>
      <c r="P6" s="92"/>
      <c r="Q6" s="92"/>
      <c r="R6" s="92"/>
    </row>
    <row r="7" spans="1:18" ht="12.75">
      <c r="A7" s="172" t="s">
        <v>347</v>
      </c>
      <c r="B7" s="307" t="s">
        <v>1248</v>
      </c>
      <c r="C7" s="55"/>
      <c r="D7" s="55"/>
      <c r="E7" s="238" t="s">
        <v>719</v>
      </c>
      <c r="F7" s="64"/>
      <c r="G7" s="92"/>
      <c r="H7" s="92"/>
      <c r="I7" s="92"/>
      <c r="J7" s="92"/>
      <c r="K7" s="92"/>
      <c r="L7" s="92"/>
      <c r="M7" s="94"/>
      <c r="O7" s="134"/>
      <c r="P7" s="92"/>
      <c r="Q7" s="92"/>
      <c r="R7" s="92"/>
    </row>
    <row r="8" spans="1:18" ht="12.75">
      <c r="A8" s="54" t="s">
        <v>348</v>
      </c>
      <c r="B8" s="57">
        <v>50</v>
      </c>
      <c r="C8" s="55"/>
      <c r="D8" s="55"/>
      <c r="E8" s="238" t="s">
        <v>891</v>
      </c>
      <c r="F8" s="65"/>
      <c r="G8" s="92"/>
      <c r="H8" s="92"/>
      <c r="I8" s="92"/>
      <c r="J8" s="92"/>
      <c r="K8" s="92"/>
      <c r="L8" s="92"/>
      <c r="M8" s="92"/>
      <c r="O8" s="92"/>
      <c r="P8" s="92"/>
      <c r="Q8" s="92"/>
      <c r="R8" s="92"/>
    </row>
    <row r="9" spans="1:18" ht="12.75">
      <c r="A9" s="54" t="s">
        <v>349</v>
      </c>
      <c r="B9" s="57">
        <v>3</v>
      </c>
      <c r="C9" s="55"/>
      <c r="D9" s="55"/>
      <c r="E9" s="238" t="s">
        <v>1091</v>
      </c>
      <c r="F9" s="65"/>
      <c r="G9" s="92"/>
      <c r="H9" s="92"/>
      <c r="I9" s="92"/>
      <c r="J9" s="92"/>
      <c r="K9" s="92"/>
      <c r="L9" s="92"/>
      <c r="M9" s="92"/>
      <c r="O9" s="92"/>
      <c r="P9" s="92"/>
      <c r="Q9" s="92"/>
      <c r="R9" s="92"/>
    </row>
    <row r="10" spans="1:15" ht="12.75">
      <c r="A10" s="54" t="s">
        <v>348</v>
      </c>
      <c r="B10" s="61">
        <v>134</v>
      </c>
      <c r="C10" s="86">
        <f>B10/28.349523</f>
        <v>4.726710922085003</v>
      </c>
      <c r="D10" s="55">
        <f>C10/16</f>
        <v>0.2954194326303127</v>
      </c>
      <c r="E10" s="236" t="s">
        <v>718</v>
      </c>
      <c r="F10" s="65"/>
      <c r="G10" s="92"/>
      <c r="H10" s="139"/>
      <c r="I10" s="92"/>
      <c r="J10" s="92"/>
      <c r="K10" s="92"/>
      <c r="L10" s="92"/>
      <c r="M10" s="92"/>
      <c r="O10" s="92"/>
    </row>
    <row r="11" spans="1:15" ht="12.75">
      <c r="A11" s="54" t="s">
        <v>348</v>
      </c>
      <c r="B11" s="57">
        <v>1331</v>
      </c>
      <c r="C11" s="55">
        <f>B11/28.349523</f>
        <v>46.94964356190402</v>
      </c>
      <c r="D11" s="55">
        <f>C11/16</f>
        <v>2.934352722619001</v>
      </c>
      <c r="E11" s="132" t="s">
        <v>110</v>
      </c>
      <c r="F11" s="65"/>
      <c r="G11" s="92"/>
      <c r="H11" s="139"/>
      <c r="I11" s="92"/>
      <c r="J11" s="92"/>
      <c r="K11" s="92"/>
      <c r="L11" s="92"/>
      <c r="M11" s="92"/>
      <c r="O11" s="92"/>
    </row>
    <row r="12" spans="1:18" ht="12.75">
      <c r="A12" s="214" t="s">
        <v>2009</v>
      </c>
      <c r="B12" s="57">
        <v>15</v>
      </c>
      <c r="C12" s="55">
        <v>0.3527396210511196</v>
      </c>
      <c r="D12" s="55"/>
      <c r="E12" s="63" t="s">
        <v>1095</v>
      </c>
      <c r="F12" s="65"/>
      <c r="G12" s="92"/>
      <c r="H12" s="92"/>
      <c r="I12" s="92"/>
      <c r="J12" s="92"/>
      <c r="K12" s="92"/>
      <c r="L12" s="92"/>
      <c r="M12" s="92"/>
      <c r="O12" s="92"/>
      <c r="P12" s="92"/>
      <c r="Q12" s="92"/>
      <c r="R12" s="92"/>
    </row>
    <row r="13" spans="1:18" ht="12.75">
      <c r="A13" s="147" t="s">
        <v>348</v>
      </c>
      <c r="B13" s="57">
        <v>34</v>
      </c>
      <c r="C13" s="55">
        <f>B13/28.349523</f>
        <v>1.1993147115738068</v>
      </c>
      <c r="D13" s="55"/>
      <c r="E13" s="236" t="s">
        <v>351</v>
      </c>
      <c r="F13" s="65"/>
      <c r="G13" s="92"/>
      <c r="H13" s="139"/>
      <c r="I13" s="92"/>
      <c r="J13" s="92"/>
      <c r="K13" s="92"/>
      <c r="L13" s="92"/>
      <c r="M13" s="92"/>
      <c r="O13" s="92"/>
      <c r="P13" s="92"/>
      <c r="Q13" s="92"/>
      <c r="R13" s="92"/>
    </row>
    <row r="14" spans="1:18" ht="12.75">
      <c r="A14" s="147" t="s">
        <v>349</v>
      </c>
      <c r="B14" s="57">
        <v>40</v>
      </c>
      <c r="C14" s="55">
        <f>B14/28.349523</f>
        <v>1.4109584842044784</v>
      </c>
      <c r="D14" s="87"/>
      <c r="E14" s="238" t="s">
        <v>479</v>
      </c>
      <c r="F14" s="92"/>
      <c r="G14" s="92"/>
      <c r="H14" s="149"/>
      <c r="I14" s="92"/>
      <c r="J14" s="92"/>
      <c r="K14" s="92"/>
      <c r="L14" s="92"/>
      <c r="M14" s="92"/>
      <c r="O14" s="92"/>
      <c r="P14" s="92"/>
      <c r="Q14" s="92"/>
      <c r="R14" s="92"/>
    </row>
    <row r="15" spans="1:19" ht="12.75">
      <c r="A15" s="309" t="s">
        <v>349</v>
      </c>
      <c r="B15" s="310">
        <v>124</v>
      </c>
      <c r="C15" s="311">
        <f>B15/28.349523</f>
        <v>4.373971301033883</v>
      </c>
      <c r="D15" s="311">
        <f>C15/16</f>
        <v>0.2733732063146177</v>
      </c>
      <c r="E15" s="240" t="s">
        <v>2087</v>
      </c>
      <c r="F15" s="92"/>
      <c r="G15" s="92"/>
      <c r="H15" s="149"/>
      <c r="I15" s="92"/>
      <c r="J15" s="92"/>
      <c r="K15" s="92"/>
      <c r="L15" s="92"/>
      <c r="M15" s="92"/>
      <c r="O15" s="92"/>
      <c r="P15" s="92"/>
      <c r="Q15" s="92"/>
      <c r="R15" s="92"/>
      <c r="S15" s="92"/>
    </row>
    <row r="16" spans="1:19" ht="12.75">
      <c r="A16" s="309"/>
      <c r="B16" s="310"/>
      <c r="C16" s="311"/>
      <c r="D16" s="311"/>
      <c r="E16" s="240" t="s">
        <v>15</v>
      </c>
      <c r="F16" s="92"/>
      <c r="G16" s="92"/>
      <c r="H16" s="149"/>
      <c r="I16" s="92"/>
      <c r="J16" s="92"/>
      <c r="K16" s="92"/>
      <c r="L16" s="92"/>
      <c r="M16" s="92"/>
      <c r="O16" s="92"/>
      <c r="P16" s="92"/>
      <c r="Q16" s="92"/>
      <c r="R16" s="92"/>
      <c r="S16" s="92"/>
    </row>
    <row r="17" spans="1:19" ht="12.75">
      <c r="A17" s="309"/>
      <c r="B17" s="310"/>
      <c r="C17" s="311"/>
      <c r="D17" s="311"/>
      <c r="E17" s="240" t="s">
        <v>14</v>
      </c>
      <c r="F17" s="92"/>
      <c r="G17" s="92"/>
      <c r="H17" s="149"/>
      <c r="I17" s="92"/>
      <c r="J17" s="92"/>
      <c r="K17" s="92"/>
      <c r="L17" s="92"/>
      <c r="M17" s="92"/>
      <c r="O17" s="92"/>
      <c r="P17" s="92"/>
      <c r="Q17" s="92"/>
      <c r="R17" s="92"/>
      <c r="S17" s="92"/>
    </row>
    <row r="18" spans="1:18" ht="12.75">
      <c r="A18" s="54" t="s">
        <v>349</v>
      </c>
      <c r="B18" s="54">
        <v>22</v>
      </c>
      <c r="C18" s="55">
        <f aca="true" t="shared" si="0" ref="C18:C55">B18/28.349523</f>
        <v>0.7760271663124632</v>
      </c>
      <c r="D18" s="54"/>
      <c r="E18" s="132" t="s">
        <v>11</v>
      </c>
      <c r="F18" s="92"/>
      <c r="G18" s="92"/>
      <c r="H18" s="92"/>
      <c r="I18" s="92"/>
      <c r="J18" s="92"/>
      <c r="K18" s="92"/>
      <c r="L18" s="92"/>
      <c r="M18" s="92"/>
      <c r="O18" s="92"/>
      <c r="P18" s="92"/>
      <c r="Q18" s="92"/>
      <c r="R18" s="92"/>
    </row>
    <row r="19" spans="1:18" ht="12.75">
      <c r="A19" s="54" t="s">
        <v>349</v>
      </c>
      <c r="B19" s="54">
        <v>5</v>
      </c>
      <c r="C19" s="55">
        <f t="shared" si="0"/>
        <v>0.1763698105255598</v>
      </c>
      <c r="D19" s="55"/>
      <c r="E19" s="132" t="s">
        <v>28</v>
      </c>
      <c r="F19" s="92"/>
      <c r="G19" s="92"/>
      <c r="H19" s="150"/>
      <c r="I19" s="92"/>
      <c r="J19" s="92"/>
      <c r="K19" s="92"/>
      <c r="L19" s="92"/>
      <c r="M19" s="92"/>
      <c r="O19" s="92"/>
      <c r="P19" s="92"/>
      <c r="Q19" s="92"/>
      <c r="R19" s="92"/>
    </row>
    <row r="20" spans="1:18" ht="12.75">
      <c r="A20" s="54" t="s">
        <v>349</v>
      </c>
      <c r="B20" s="54">
        <v>14</v>
      </c>
      <c r="C20" s="55">
        <f t="shared" si="0"/>
        <v>0.4938354694715675</v>
      </c>
      <c r="D20" s="54"/>
      <c r="E20" s="132" t="s">
        <v>1221</v>
      </c>
      <c r="F20" s="92"/>
      <c r="G20" s="92"/>
      <c r="H20" s="149"/>
      <c r="I20" s="92"/>
      <c r="J20" s="92"/>
      <c r="K20" s="92"/>
      <c r="L20" s="92"/>
      <c r="M20" s="92"/>
      <c r="O20" s="92"/>
      <c r="P20" s="92"/>
      <c r="Q20" s="92"/>
      <c r="R20" s="92"/>
    </row>
    <row r="21" spans="1:18" ht="12.75">
      <c r="A21" s="54" t="s">
        <v>349</v>
      </c>
      <c r="B21" s="57">
        <v>20</v>
      </c>
      <c r="C21" s="55">
        <f t="shared" si="0"/>
        <v>0.7054792421022392</v>
      </c>
      <c r="D21" s="55"/>
      <c r="E21" s="132" t="s">
        <v>655</v>
      </c>
      <c r="F21" s="92"/>
      <c r="G21" s="92"/>
      <c r="H21" s="92"/>
      <c r="I21" s="92"/>
      <c r="J21" s="92"/>
      <c r="K21" s="92"/>
      <c r="L21" s="92"/>
      <c r="M21" s="92"/>
      <c r="N21" s="92"/>
      <c r="O21" s="92"/>
      <c r="P21" s="92"/>
      <c r="Q21" s="92"/>
      <c r="R21" s="92"/>
    </row>
    <row r="22" spans="1:18" ht="12.75">
      <c r="A22" s="54" t="s">
        <v>349</v>
      </c>
      <c r="B22" s="57">
        <v>14</v>
      </c>
      <c r="C22" s="55">
        <f t="shared" si="0"/>
        <v>0.4938354694715675</v>
      </c>
      <c r="D22" s="87"/>
      <c r="E22" s="238" t="s">
        <v>342</v>
      </c>
      <c r="F22" s="92"/>
      <c r="G22" s="92"/>
      <c r="H22" s="178"/>
      <c r="I22" s="92"/>
      <c r="J22" s="92"/>
      <c r="K22" s="92"/>
      <c r="L22" s="92"/>
      <c r="M22" s="92"/>
      <c r="N22" s="92"/>
      <c r="O22" s="92"/>
      <c r="P22" s="92"/>
      <c r="Q22" s="92"/>
      <c r="R22" s="92"/>
    </row>
    <row r="23" spans="1:18" ht="12.75">
      <c r="A23" s="54" t="s">
        <v>349</v>
      </c>
      <c r="B23" s="57">
        <v>14</v>
      </c>
      <c r="C23" s="55">
        <f t="shared" si="0"/>
        <v>0.4938354694715675</v>
      </c>
      <c r="D23" s="87"/>
      <c r="E23" s="241" t="s">
        <v>1319</v>
      </c>
      <c r="F23" s="92"/>
      <c r="G23" s="92"/>
      <c r="H23" s="95"/>
      <c r="I23" s="92"/>
      <c r="J23" s="92"/>
      <c r="K23" s="92"/>
      <c r="L23" s="92"/>
      <c r="M23" s="92"/>
      <c r="N23" s="92"/>
      <c r="O23" s="92"/>
      <c r="P23" s="92"/>
      <c r="Q23" s="92"/>
      <c r="R23" s="92"/>
    </row>
    <row r="24" spans="1:18" ht="12.75">
      <c r="A24" s="54" t="s">
        <v>349</v>
      </c>
      <c r="B24" s="57">
        <f>46/4</f>
        <v>11.5</v>
      </c>
      <c r="C24" s="55">
        <f t="shared" si="0"/>
        <v>0.40565056420878753</v>
      </c>
      <c r="D24" s="55"/>
      <c r="E24" s="242" t="s">
        <v>1776</v>
      </c>
      <c r="F24" s="134"/>
      <c r="G24" s="92"/>
      <c r="H24" s="138"/>
      <c r="I24" s="92"/>
      <c r="J24" s="94"/>
      <c r="K24" s="92"/>
      <c r="L24" s="92"/>
      <c r="M24" s="92"/>
      <c r="N24" s="92"/>
      <c r="O24" s="92"/>
      <c r="P24" s="92"/>
      <c r="Q24" s="92"/>
      <c r="R24" s="92"/>
    </row>
    <row r="25" spans="1:18" ht="12.75">
      <c r="A25" s="54" t="s">
        <v>349</v>
      </c>
      <c r="B25" s="57">
        <v>14</v>
      </c>
      <c r="C25" s="55"/>
      <c r="D25" s="55"/>
      <c r="E25" s="242" t="s">
        <v>1852</v>
      </c>
      <c r="F25" s="134"/>
      <c r="G25" s="92"/>
      <c r="H25" s="138"/>
      <c r="I25" s="92"/>
      <c r="J25" s="94"/>
      <c r="K25" s="92"/>
      <c r="L25" s="92"/>
      <c r="M25" s="92"/>
      <c r="N25" s="92"/>
      <c r="O25" s="92"/>
      <c r="P25" s="92"/>
      <c r="Q25" s="92"/>
      <c r="R25" s="92"/>
    </row>
    <row r="26" spans="1:18" ht="12.75">
      <c r="A26" s="54" t="s">
        <v>349</v>
      </c>
      <c r="B26" s="54">
        <v>15</v>
      </c>
      <c r="C26" s="55">
        <f>B26/28.349523</f>
        <v>0.5291094315766794</v>
      </c>
      <c r="D26" s="54"/>
      <c r="E26" s="132" t="s">
        <v>1087</v>
      </c>
      <c r="F26" s="92"/>
      <c r="G26" s="92"/>
      <c r="H26" s="92"/>
      <c r="I26" s="92"/>
      <c r="J26" s="92"/>
      <c r="K26" s="92"/>
      <c r="L26" s="92"/>
      <c r="M26" s="92"/>
      <c r="N26" s="92"/>
      <c r="O26" s="92"/>
      <c r="P26" s="92"/>
      <c r="Q26" s="92"/>
      <c r="R26" s="92"/>
    </row>
    <row r="27" spans="1:19" ht="12.75">
      <c r="A27" s="54" t="s">
        <v>349</v>
      </c>
      <c r="B27" s="54">
        <v>60</v>
      </c>
      <c r="C27" s="55">
        <f t="shared" si="0"/>
        <v>2.116437726306718</v>
      </c>
      <c r="D27" s="54"/>
      <c r="E27" s="237" t="s">
        <v>1280</v>
      </c>
      <c r="F27" s="92"/>
      <c r="G27" s="92"/>
      <c r="H27" s="92"/>
      <c r="I27" s="92"/>
      <c r="J27" s="92"/>
      <c r="K27" s="92"/>
      <c r="L27" s="92"/>
      <c r="M27" s="92"/>
      <c r="N27" s="92"/>
      <c r="O27" s="92"/>
      <c r="P27" s="92"/>
      <c r="Q27" s="92"/>
      <c r="R27" s="92"/>
      <c r="S27" s="92"/>
    </row>
    <row r="28" spans="1:18" ht="12.75">
      <c r="A28" s="54" t="s">
        <v>349</v>
      </c>
      <c r="B28" s="54">
        <v>21</v>
      </c>
      <c r="C28" s="55">
        <f t="shared" si="0"/>
        <v>0.7407532042073511</v>
      </c>
      <c r="D28" s="54"/>
      <c r="E28" s="132" t="s">
        <v>646</v>
      </c>
      <c r="F28" s="92"/>
      <c r="G28" s="92"/>
      <c r="H28" s="95"/>
      <c r="I28" s="92"/>
      <c r="J28" s="92"/>
      <c r="K28" s="92"/>
      <c r="L28" s="92"/>
      <c r="M28" s="92"/>
      <c r="N28" s="92"/>
      <c r="O28" s="92"/>
      <c r="P28" s="92"/>
      <c r="Q28" s="92"/>
      <c r="R28" s="92"/>
    </row>
    <row r="29" spans="1:10" ht="12.75">
      <c r="A29" s="54" t="s">
        <v>348</v>
      </c>
      <c r="B29" s="22">
        <v>169.5</v>
      </c>
      <c r="C29" s="3">
        <f t="shared" si="0"/>
        <v>5.978936576816477</v>
      </c>
      <c r="D29" s="2">
        <f>C29/16</f>
        <v>0.37368353605102983</v>
      </c>
      <c r="E29" s="12" t="s">
        <v>1082</v>
      </c>
      <c r="F29" s="3"/>
      <c r="J29" s="216"/>
    </row>
    <row r="30" spans="1:18" ht="12.75">
      <c r="A30" s="54" t="s">
        <v>348</v>
      </c>
      <c r="B30" s="54">
        <v>54</v>
      </c>
      <c r="C30" s="55">
        <f t="shared" si="0"/>
        <v>1.9047939536760459</v>
      </c>
      <c r="D30" s="54"/>
      <c r="E30" s="132" t="s">
        <v>1081</v>
      </c>
      <c r="F30" s="92"/>
      <c r="G30" s="92"/>
      <c r="H30" s="95"/>
      <c r="I30" s="92"/>
      <c r="J30" s="92"/>
      <c r="K30" s="92"/>
      <c r="L30" s="92"/>
      <c r="M30" s="92"/>
      <c r="N30" s="92"/>
      <c r="O30" s="92"/>
      <c r="P30" s="92"/>
      <c r="Q30" s="92"/>
      <c r="R30" s="92"/>
    </row>
    <row r="31" spans="1:18" ht="12.75">
      <c r="A31" s="54" t="s">
        <v>348</v>
      </c>
      <c r="B31" s="57">
        <v>814</v>
      </c>
      <c r="C31" s="55">
        <f t="shared" si="0"/>
        <v>28.713005153561138</v>
      </c>
      <c r="D31" s="55">
        <f>C31/16</f>
        <v>1.7945628220975711</v>
      </c>
      <c r="E31" s="132" t="s">
        <v>647</v>
      </c>
      <c r="F31" s="92"/>
      <c r="G31" s="92"/>
      <c r="H31" s="92"/>
      <c r="I31" s="92"/>
      <c r="J31" s="92"/>
      <c r="K31" s="92"/>
      <c r="L31" s="92"/>
      <c r="M31" s="92"/>
      <c r="N31" s="92"/>
      <c r="O31" s="92"/>
      <c r="P31" s="92"/>
      <c r="Q31" s="92"/>
      <c r="R31" s="92"/>
    </row>
    <row r="32" spans="1:7" ht="12.75">
      <c r="A32" s="54" t="s">
        <v>348</v>
      </c>
      <c r="B32" s="57">
        <v>243</v>
      </c>
      <c r="C32" s="55">
        <f aca="true" t="shared" si="1" ref="C32:C37">B32/28.349523</f>
        <v>8.571572791542206</v>
      </c>
      <c r="D32" s="55">
        <f>C32/16</f>
        <v>0.5357232994713879</v>
      </c>
      <c r="E32" s="236" t="s">
        <v>1469</v>
      </c>
      <c r="F32" s="92"/>
      <c r="G32" s="92"/>
    </row>
    <row r="33" spans="1:7" ht="12.75">
      <c r="A33" s="54" t="s">
        <v>348</v>
      </c>
      <c r="B33" s="61">
        <v>263</v>
      </c>
      <c r="C33" s="55">
        <f t="shared" si="1"/>
        <v>9.277052033644445</v>
      </c>
      <c r="D33" s="55">
        <f>C33/16</f>
        <v>0.5798157521027778</v>
      </c>
      <c r="E33" s="236" t="s">
        <v>684</v>
      </c>
      <c r="F33" s="134"/>
      <c r="G33" s="92"/>
    </row>
    <row r="34" spans="1:6" ht="12.75">
      <c r="A34" s="54" t="s">
        <v>348</v>
      </c>
      <c r="B34" s="57">
        <v>266</v>
      </c>
      <c r="C34" s="55">
        <f t="shared" si="1"/>
        <v>9.382873919959781</v>
      </c>
      <c r="D34" s="55">
        <f>C34/16</f>
        <v>0.5864296199974863</v>
      </c>
      <c r="E34" t="s">
        <v>350</v>
      </c>
      <c r="F34" s="3"/>
    </row>
    <row r="35" spans="1:6" ht="12.75">
      <c r="A35" s="54" t="s">
        <v>348</v>
      </c>
      <c r="B35" s="9">
        <v>113</v>
      </c>
      <c r="C35" s="2">
        <f t="shared" si="1"/>
        <v>3.9859577178776515</v>
      </c>
      <c r="D35" s="55"/>
      <c r="E35" t="s">
        <v>1080</v>
      </c>
      <c r="F35" s="3"/>
    </row>
    <row r="36" spans="1:18" ht="12.75">
      <c r="A36" s="54" t="s">
        <v>348</v>
      </c>
      <c r="B36" s="57">
        <v>84</v>
      </c>
      <c r="C36" s="55">
        <f t="shared" si="1"/>
        <v>2.9630128168294045</v>
      </c>
      <c r="D36" s="55"/>
      <c r="E36" s="132" t="s">
        <v>2008</v>
      </c>
      <c r="F36" s="134"/>
      <c r="G36" s="92"/>
      <c r="H36" s="92"/>
      <c r="I36" s="92"/>
      <c r="J36" s="92"/>
      <c r="K36" s="92"/>
      <c r="L36" s="92"/>
      <c r="M36" s="92"/>
      <c r="N36" s="92"/>
      <c r="O36" s="92"/>
      <c r="P36" s="92"/>
      <c r="Q36" s="92"/>
      <c r="R36" s="92"/>
    </row>
    <row r="37" spans="1:18" ht="12.75">
      <c r="A37" s="54" t="s">
        <v>348</v>
      </c>
      <c r="B37" s="54">
        <v>38</v>
      </c>
      <c r="C37" s="55">
        <f t="shared" si="1"/>
        <v>1.3404105599942544</v>
      </c>
      <c r="D37" s="55"/>
      <c r="E37" s="132" t="s">
        <v>222</v>
      </c>
      <c r="F37" s="92"/>
      <c r="G37" s="92"/>
      <c r="H37" s="139"/>
      <c r="I37" s="92"/>
      <c r="J37" s="92"/>
      <c r="K37" s="92"/>
      <c r="L37" s="92"/>
      <c r="M37" s="92"/>
      <c r="N37" s="92"/>
      <c r="O37" s="92"/>
      <c r="P37" s="92"/>
      <c r="Q37" s="92"/>
      <c r="R37" s="92"/>
    </row>
    <row r="38" spans="1:5" ht="12.75">
      <c r="A38" s="54" t="s">
        <v>348</v>
      </c>
      <c r="B38" s="54">
        <v>18</v>
      </c>
      <c r="C38" s="55">
        <f>B38/28.349523</f>
        <v>0.6349313178920153</v>
      </c>
      <c r="D38" s="54"/>
      <c r="E38" s="96" t="s">
        <v>432</v>
      </c>
    </row>
    <row r="39" spans="1:18" ht="12.75">
      <c r="A39" s="54" t="s">
        <v>348</v>
      </c>
      <c r="B39" s="61">
        <v>44</v>
      </c>
      <c r="C39" s="55">
        <f t="shared" si="0"/>
        <v>1.5520543326249263</v>
      </c>
      <c r="D39" s="55"/>
      <c r="E39" s="243" t="s">
        <v>1634</v>
      </c>
      <c r="F39" s="92"/>
      <c r="G39" s="92"/>
      <c r="H39" s="139"/>
      <c r="I39" s="92"/>
      <c r="J39" s="92"/>
      <c r="K39" s="92"/>
      <c r="L39" s="92"/>
      <c r="M39" s="92"/>
      <c r="N39" s="92"/>
      <c r="O39" s="92"/>
      <c r="P39" s="92"/>
      <c r="Q39" s="92"/>
      <c r="R39" s="92"/>
    </row>
    <row r="40" spans="1:18" ht="12.75">
      <c r="A40" s="147" t="s">
        <v>348</v>
      </c>
      <c r="B40" s="57">
        <v>60</v>
      </c>
      <c r="C40" s="55">
        <f t="shared" si="0"/>
        <v>2.116437726306718</v>
      </c>
      <c r="D40" s="55"/>
      <c r="E40" s="238" t="s">
        <v>23</v>
      </c>
      <c r="F40" s="92"/>
      <c r="G40" s="92"/>
      <c r="H40" s="92"/>
      <c r="I40" s="92"/>
      <c r="J40" s="92"/>
      <c r="K40" s="93"/>
      <c r="L40" s="92"/>
      <c r="M40" s="92"/>
      <c r="N40" s="92"/>
      <c r="O40" s="92"/>
      <c r="P40" s="92"/>
      <c r="Q40" s="92"/>
      <c r="R40" s="92"/>
    </row>
    <row r="41" spans="1:18" ht="12.75">
      <c r="A41" s="147" t="s">
        <v>348</v>
      </c>
      <c r="B41" s="147">
        <v>24</v>
      </c>
      <c r="C41" s="55">
        <f t="shared" si="0"/>
        <v>0.8465750905226871</v>
      </c>
      <c r="D41" s="160"/>
      <c r="E41" s="241" t="s">
        <v>321</v>
      </c>
      <c r="F41" s="92"/>
      <c r="G41" s="92"/>
      <c r="H41" s="92"/>
      <c r="I41" s="92"/>
      <c r="J41" s="92"/>
      <c r="K41" s="92"/>
      <c r="L41" s="92"/>
      <c r="M41" s="92"/>
      <c r="N41" s="92"/>
      <c r="O41" s="92"/>
      <c r="P41" s="92"/>
      <c r="Q41" s="92"/>
      <c r="R41" s="92"/>
    </row>
    <row r="42" spans="1:18" ht="12.75">
      <c r="A42" s="54" t="s">
        <v>348</v>
      </c>
      <c r="B42" s="54">
        <v>36</v>
      </c>
      <c r="C42" s="55">
        <f t="shared" si="0"/>
        <v>1.2698626357840306</v>
      </c>
      <c r="D42" s="55"/>
      <c r="E42" s="242" t="s">
        <v>322</v>
      </c>
      <c r="F42" s="92"/>
      <c r="G42" s="92"/>
      <c r="H42" s="150"/>
      <c r="I42" s="92"/>
      <c r="J42" s="92"/>
      <c r="K42" s="92"/>
      <c r="L42" s="92"/>
      <c r="M42" s="92"/>
      <c r="N42" s="92"/>
      <c r="O42" s="92"/>
      <c r="P42" s="92"/>
      <c r="Q42" s="92"/>
      <c r="R42" s="92"/>
    </row>
    <row r="43" spans="1:18" ht="12.75">
      <c r="A43" s="54" t="s">
        <v>352</v>
      </c>
      <c r="B43" s="57">
        <v>35</v>
      </c>
      <c r="C43" s="55">
        <f t="shared" si="0"/>
        <v>1.2345886736789187</v>
      </c>
      <c r="D43" s="55"/>
      <c r="E43" s="243" t="s">
        <v>721</v>
      </c>
      <c r="F43" s="92"/>
      <c r="G43" s="92"/>
      <c r="H43" s="175"/>
      <c r="I43" s="92"/>
      <c r="J43" s="92"/>
      <c r="K43" s="92"/>
      <c r="L43" s="92"/>
      <c r="M43" s="92"/>
      <c r="N43" s="92"/>
      <c r="O43" s="92"/>
      <c r="P43" s="92"/>
      <c r="Q43" s="92"/>
      <c r="R43" s="92"/>
    </row>
    <row r="44" spans="1:18" ht="12.75">
      <c r="A44" s="54" t="s">
        <v>348</v>
      </c>
      <c r="B44" s="57">
        <v>565</v>
      </c>
      <c r="C44" s="55">
        <f t="shared" si="0"/>
        <v>19.92978858938826</v>
      </c>
      <c r="D44" s="55">
        <f>C44/16</f>
        <v>1.2456117868367662</v>
      </c>
      <c r="E44" s="242" t="s">
        <v>720</v>
      </c>
      <c r="F44" s="92"/>
      <c r="G44" s="92"/>
      <c r="H44" s="92"/>
      <c r="I44" s="92"/>
      <c r="J44" s="92"/>
      <c r="K44" s="92"/>
      <c r="L44" s="92"/>
      <c r="M44" s="92"/>
      <c r="N44" s="92"/>
      <c r="O44" s="94"/>
      <c r="P44" s="92"/>
      <c r="Q44" s="92"/>
      <c r="R44" s="92"/>
    </row>
    <row r="45" spans="1:18" ht="12.75">
      <c r="A45" s="54" t="s">
        <v>349</v>
      </c>
      <c r="B45" s="57">
        <v>57</v>
      </c>
      <c r="C45" s="55">
        <f t="shared" si="0"/>
        <v>2.010615839991382</v>
      </c>
      <c r="D45" s="55"/>
      <c r="E45" s="63" t="s">
        <v>1315</v>
      </c>
      <c r="F45" s="92"/>
      <c r="G45" s="92"/>
      <c r="H45" s="126"/>
      <c r="I45" s="92"/>
      <c r="J45" s="92"/>
      <c r="K45" s="92"/>
      <c r="L45" s="92"/>
      <c r="M45" s="92"/>
      <c r="N45" s="92"/>
      <c r="O45" s="92"/>
      <c r="P45" s="92"/>
      <c r="Q45" s="92"/>
      <c r="R45" s="92"/>
    </row>
    <row r="46" spans="1:18" ht="12.75">
      <c r="A46" s="54" t="s">
        <v>348</v>
      </c>
      <c r="B46" s="57">
        <v>103</v>
      </c>
      <c r="C46" s="55">
        <f t="shared" si="0"/>
        <v>3.633218096826532</v>
      </c>
      <c r="D46" s="55"/>
      <c r="E46" s="132" t="s">
        <v>899</v>
      </c>
      <c r="F46" s="134"/>
      <c r="G46" s="92"/>
      <c r="H46" s="92"/>
      <c r="I46" s="92"/>
      <c r="J46" s="92"/>
      <c r="K46" s="92"/>
      <c r="L46" s="92"/>
      <c r="M46" s="94"/>
      <c r="N46" s="92"/>
      <c r="O46" s="134"/>
      <c r="P46" s="92"/>
      <c r="Q46" s="92"/>
      <c r="R46" s="92"/>
    </row>
    <row r="47" spans="1:8" ht="12.75">
      <c r="A47" s="147" t="s">
        <v>353</v>
      </c>
      <c r="B47" s="57">
        <v>741</v>
      </c>
      <c r="C47" s="55">
        <f t="shared" si="0"/>
        <v>26.138005919887963</v>
      </c>
      <c r="D47" s="55">
        <f>C47/16</f>
        <v>1.6336253699929977</v>
      </c>
      <c r="E47" s="242" t="s">
        <v>377</v>
      </c>
      <c r="F47" s="92"/>
      <c r="G47" s="92"/>
      <c r="H47" s="138"/>
    </row>
    <row r="48" spans="1:13" ht="12.75">
      <c r="A48" s="147" t="s">
        <v>353</v>
      </c>
      <c r="B48" s="61">
        <v>158</v>
      </c>
      <c r="C48" s="55">
        <f>B48/28.349523</f>
        <v>5.5732860126076895</v>
      </c>
      <c r="D48" s="55">
        <f>C48/16</f>
        <v>0.3483303757879806</v>
      </c>
      <c r="E48" s="259" t="s">
        <v>2117</v>
      </c>
      <c r="F48" s="92"/>
      <c r="G48" s="92"/>
      <c r="H48" s="138"/>
      <c r="J48" s="135"/>
      <c r="K48" s="94"/>
      <c r="L48" s="94"/>
      <c r="M48" s="150"/>
    </row>
    <row r="49" spans="1:18" ht="12.75">
      <c r="A49" s="54" t="s">
        <v>353</v>
      </c>
      <c r="B49" s="61">
        <v>362</v>
      </c>
      <c r="C49" s="55">
        <f t="shared" si="0"/>
        <v>12.76917428205053</v>
      </c>
      <c r="D49" s="55">
        <f>C49/16</f>
        <v>0.7980733926281581</v>
      </c>
      <c r="E49" s="244" t="s">
        <v>1831</v>
      </c>
      <c r="F49" s="92"/>
      <c r="G49" s="92"/>
      <c r="H49" s="139"/>
      <c r="I49" s="92"/>
      <c r="J49" s="92"/>
      <c r="K49" s="92"/>
      <c r="L49" s="92"/>
      <c r="M49" s="92"/>
      <c r="O49" s="92"/>
      <c r="P49" s="92"/>
      <c r="Q49" s="92"/>
      <c r="R49" s="92"/>
    </row>
    <row r="50" spans="1:18" ht="12.75">
      <c r="A50" s="54" t="s">
        <v>2009</v>
      </c>
      <c r="B50" s="61">
        <v>44</v>
      </c>
      <c r="C50" s="55">
        <f t="shared" si="0"/>
        <v>1.5520543326249263</v>
      </c>
      <c r="D50" s="55"/>
      <c r="E50" s="244" t="s">
        <v>1092</v>
      </c>
      <c r="F50" s="92"/>
      <c r="G50" s="92"/>
      <c r="H50" s="139"/>
      <c r="I50" s="92"/>
      <c r="J50" s="92"/>
      <c r="K50" s="92"/>
      <c r="L50" s="92"/>
      <c r="M50" s="92"/>
      <c r="O50" s="92"/>
      <c r="P50" s="92"/>
      <c r="Q50" s="92"/>
      <c r="R50" s="92"/>
    </row>
    <row r="51" spans="1:18" ht="12.75">
      <c r="A51" s="54" t="s">
        <v>2009</v>
      </c>
      <c r="B51" s="54">
        <v>34</v>
      </c>
      <c r="C51" s="55">
        <f t="shared" si="0"/>
        <v>1.1993147115738068</v>
      </c>
      <c r="D51" s="54"/>
      <c r="E51" s="132" t="s">
        <v>1767</v>
      </c>
      <c r="F51" s="92"/>
      <c r="G51" s="92"/>
      <c r="H51" s="92"/>
      <c r="I51" s="92"/>
      <c r="J51" s="92"/>
      <c r="K51" s="92"/>
      <c r="L51" s="92"/>
      <c r="M51" s="92"/>
      <c r="O51" s="92"/>
      <c r="P51" s="92"/>
      <c r="Q51" s="92"/>
      <c r="R51" s="92"/>
    </row>
    <row r="52" spans="1:18" ht="12.75">
      <c r="A52" s="54" t="s">
        <v>449</v>
      </c>
      <c r="B52" s="9">
        <v>61</v>
      </c>
      <c r="C52" s="2">
        <f t="shared" si="0"/>
        <v>2.1517116884118295</v>
      </c>
      <c r="D52" s="55"/>
      <c r="E52" s="132" t="s">
        <v>1682</v>
      </c>
      <c r="F52" s="134"/>
      <c r="G52" s="92"/>
      <c r="H52" s="92"/>
      <c r="I52" s="92"/>
      <c r="J52" s="92"/>
      <c r="K52" s="92"/>
      <c r="L52" s="92"/>
      <c r="M52" s="94"/>
      <c r="O52" s="134"/>
      <c r="P52" s="92"/>
      <c r="Q52" s="92"/>
      <c r="R52" s="92"/>
    </row>
    <row r="53" spans="1:18" ht="12.75">
      <c r="A53" s="306" t="s">
        <v>662</v>
      </c>
      <c r="B53" s="57">
        <f>SUM(B3:B52)</f>
        <v>6425</v>
      </c>
      <c r="C53" s="57">
        <f t="shared" si="0"/>
        <v>226.63520652534436</v>
      </c>
      <c r="D53" s="55">
        <f>C53/16</f>
        <v>14.164700407834022</v>
      </c>
      <c r="E53" s="132" t="s">
        <v>435</v>
      </c>
      <c r="F53" s="134"/>
      <c r="G53" s="92"/>
      <c r="H53" s="92"/>
      <c r="I53" s="92"/>
      <c r="J53" s="92"/>
      <c r="K53" s="92"/>
      <c r="L53" s="92"/>
      <c r="M53" s="94"/>
      <c r="O53" s="134"/>
      <c r="P53" s="92"/>
      <c r="Q53" s="92"/>
      <c r="R53" s="92"/>
    </row>
    <row r="54" spans="1:18" ht="12.75">
      <c r="A54" s="54" t="s">
        <v>1775</v>
      </c>
      <c r="B54" s="57">
        <f>3210-917</f>
        <v>2293</v>
      </c>
      <c r="C54" s="57">
        <f t="shared" si="0"/>
        <v>80.88319510702172</v>
      </c>
      <c r="D54" s="55">
        <f>C54/16</f>
        <v>5.0551996941888575</v>
      </c>
      <c r="E54" s="297" t="s">
        <v>678</v>
      </c>
      <c r="F54" s="134"/>
      <c r="G54" s="92"/>
      <c r="H54" s="92"/>
      <c r="I54" s="92"/>
      <c r="J54" s="92"/>
      <c r="K54" s="92"/>
      <c r="L54" s="92"/>
      <c r="M54" s="94"/>
      <c r="O54" s="134"/>
      <c r="P54" s="92"/>
      <c r="Q54" s="92"/>
      <c r="R54" s="92"/>
    </row>
    <row r="55" spans="1:18" ht="13.5" thickBot="1">
      <c r="A55" s="306" t="s">
        <v>662</v>
      </c>
      <c r="B55" s="57">
        <f>B53+B54</f>
        <v>8718</v>
      </c>
      <c r="C55" s="57">
        <f t="shared" si="0"/>
        <v>307.5184016323661</v>
      </c>
      <c r="D55" s="55">
        <f>C55/16</f>
        <v>19.21990010202288</v>
      </c>
      <c r="E55" s="297" t="s">
        <v>677</v>
      </c>
      <c r="F55" s="134"/>
      <c r="G55" s="92"/>
      <c r="H55" s="92"/>
      <c r="I55" s="92"/>
      <c r="J55" s="92"/>
      <c r="K55" s="92"/>
      <c r="L55" s="92"/>
      <c r="M55" s="94"/>
      <c r="O55" s="134"/>
      <c r="P55" s="92"/>
      <c r="Q55" s="92"/>
      <c r="R55" s="92"/>
    </row>
    <row r="56" spans="1:18" ht="13.5" thickBot="1">
      <c r="A56" s="159"/>
      <c r="B56" s="66">
        <v>5</v>
      </c>
      <c r="C56" s="54"/>
      <c r="D56" s="54"/>
      <c r="E56" s="132" t="s">
        <v>1558</v>
      </c>
      <c r="F56" s="92"/>
      <c r="G56" s="92"/>
      <c r="H56" s="92"/>
      <c r="I56" s="92"/>
      <c r="J56" s="92"/>
      <c r="K56" s="92"/>
      <c r="L56" s="92"/>
      <c r="M56" s="92"/>
      <c r="O56" s="92"/>
      <c r="P56" s="92"/>
      <c r="Q56" s="92"/>
      <c r="R56" s="92"/>
    </row>
    <row r="57" spans="1:18" ht="12.75">
      <c r="A57" s="172" t="s">
        <v>2009</v>
      </c>
      <c r="B57" s="54">
        <v>29</v>
      </c>
      <c r="C57" s="55">
        <f aca="true" t="shared" si="2" ref="C57:C73">B57/28.349523</f>
        <v>1.0229449010482468</v>
      </c>
      <c r="D57" s="54"/>
      <c r="E57" s="132" t="s">
        <v>657</v>
      </c>
      <c r="F57" s="92"/>
      <c r="G57" s="92"/>
      <c r="H57" s="92"/>
      <c r="I57" s="92"/>
      <c r="J57" s="92"/>
      <c r="K57" s="92"/>
      <c r="L57" s="92"/>
      <c r="M57" s="92"/>
      <c r="O57" s="92"/>
      <c r="P57" s="92"/>
      <c r="Q57" s="92"/>
      <c r="R57" s="92"/>
    </row>
    <row r="58" spans="1:18" ht="13.5" thickBot="1">
      <c r="A58" s="67" t="s">
        <v>2009</v>
      </c>
      <c r="B58" s="57">
        <v>135</v>
      </c>
      <c r="C58" s="55">
        <f>B58/28.349523</f>
        <v>4.761984884190115</v>
      </c>
      <c r="D58" s="55">
        <f>C58/16</f>
        <v>0.2976240552618822</v>
      </c>
      <c r="E58" s="241" t="s">
        <v>399</v>
      </c>
      <c r="F58" s="92"/>
      <c r="G58" s="92"/>
      <c r="H58" s="92"/>
      <c r="I58" s="92"/>
      <c r="J58" s="92"/>
      <c r="K58" s="92"/>
      <c r="L58" s="92"/>
      <c r="M58" s="92"/>
      <c r="O58" s="92"/>
      <c r="P58" s="92"/>
      <c r="Q58" s="92"/>
      <c r="R58" s="92"/>
    </row>
    <row r="59" spans="1:18" ht="13.5" thickBot="1">
      <c r="A59" s="300" t="s">
        <v>2009</v>
      </c>
      <c r="E59" s="301" t="s">
        <v>1097</v>
      </c>
      <c r="F59" s="92"/>
      <c r="G59" s="92"/>
      <c r="H59" s="95"/>
      <c r="I59" s="92"/>
      <c r="J59" s="92"/>
      <c r="K59" s="92"/>
      <c r="L59" s="92"/>
      <c r="M59" s="92"/>
      <c r="O59" s="92"/>
      <c r="P59" s="92"/>
      <c r="Q59" s="92"/>
      <c r="R59" s="92"/>
    </row>
    <row r="60" spans="1:8" ht="12.75">
      <c r="A60" s="172" t="s">
        <v>2009</v>
      </c>
      <c r="B60" s="61">
        <v>52</v>
      </c>
      <c r="C60" s="55">
        <f>B60/28.349523</f>
        <v>1.834246029465822</v>
      </c>
      <c r="D60" s="87"/>
      <c r="E60" s="241" t="s">
        <v>717</v>
      </c>
      <c r="F60" s="92"/>
      <c r="G60" s="92"/>
      <c r="H60" s="139"/>
    </row>
    <row r="61" spans="1:19" ht="13.5" thickBot="1">
      <c r="A61" s="182" t="s">
        <v>2009</v>
      </c>
      <c r="B61" s="57">
        <v>215</v>
      </c>
      <c r="C61" s="55">
        <f t="shared" si="2"/>
        <v>7.583901852599071</v>
      </c>
      <c r="D61" s="55">
        <f>C61/16</f>
        <v>0.47399386578744196</v>
      </c>
      <c r="E61" s="240" t="s">
        <v>1093</v>
      </c>
      <c r="F61" s="92"/>
      <c r="G61" s="92"/>
      <c r="H61" s="149"/>
      <c r="I61" s="92"/>
      <c r="J61" s="92"/>
      <c r="K61" s="92"/>
      <c r="L61" s="92"/>
      <c r="M61" s="92"/>
      <c r="O61" s="92"/>
      <c r="P61" s="92"/>
      <c r="Q61" s="92"/>
      <c r="R61" s="92"/>
      <c r="S61" s="92"/>
    </row>
    <row r="62" spans="1:19" ht="13.5" thickBot="1">
      <c r="A62" s="300" t="s">
        <v>2009</v>
      </c>
      <c r="B62" s="305" t="s">
        <v>662</v>
      </c>
      <c r="C62" s="55"/>
      <c r="D62" s="55"/>
      <c r="E62" s="240" t="s">
        <v>1094</v>
      </c>
      <c r="F62" s="92"/>
      <c r="G62" s="92"/>
      <c r="H62" s="149"/>
      <c r="I62" s="92"/>
      <c r="J62" s="92"/>
      <c r="K62" s="92"/>
      <c r="L62" s="92"/>
      <c r="M62" s="92"/>
      <c r="O62" s="92"/>
      <c r="P62" s="92"/>
      <c r="Q62" s="92"/>
      <c r="R62" s="92"/>
      <c r="S62" s="92"/>
    </row>
    <row r="63" spans="1:18" ht="12.75">
      <c r="A63" s="172" t="s">
        <v>2009</v>
      </c>
      <c r="B63" s="57">
        <v>324</v>
      </c>
      <c r="C63" s="55">
        <f t="shared" si="2"/>
        <v>11.428763722056276</v>
      </c>
      <c r="D63" s="55">
        <f>C63/16</f>
        <v>0.7142977326285173</v>
      </c>
      <c r="E63" s="132" t="s">
        <v>2014</v>
      </c>
      <c r="F63" s="134"/>
      <c r="G63" s="92"/>
      <c r="H63" s="92"/>
      <c r="I63" s="92"/>
      <c r="J63" s="92"/>
      <c r="K63" s="92"/>
      <c r="L63" s="92"/>
      <c r="M63" s="92"/>
      <c r="O63" s="92"/>
      <c r="P63" s="92"/>
      <c r="Q63" s="92"/>
      <c r="R63" s="92"/>
    </row>
    <row r="64" spans="1:18" ht="12.75">
      <c r="A64" s="54" t="s">
        <v>2009</v>
      </c>
      <c r="B64" s="54">
        <v>50</v>
      </c>
      <c r="C64" s="55">
        <f t="shared" si="2"/>
        <v>1.763698105255598</v>
      </c>
      <c r="D64" s="54"/>
      <c r="E64" s="132" t="s">
        <v>137</v>
      </c>
      <c r="F64" s="92"/>
      <c r="G64" s="92"/>
      <c r="H64" s="92"/>
      <c r="I64" s="92"/>
      <c r="J64" s="92"/>
      <c r="K64" s="92"/>
      <c r="L64" s="92"/>
      <c r="M64" s="92"/>
      <c r="N64" s="150"/>
      <c r="O64" s="92"/>
      <c r="P64" s="92"/>
      <c r="Q64" s="92"/>
      <c r="R64" s="92"/>
    </row>
    <row r="65" spans="1:18" ht="12.75">
      <c r="A65" s="54" t="s">
        <v>2009</v>
      </c>
      <c r="B65" s="57">
        <v>219</v>
      </c>
      <c r="C65" s="55">
        <f t="shared" si="2"/>
        <v>7.724997701019519</v>
      </c>
      <c r="D65" s="55">
        <f>C65/16</f>
        <v>0.48281235631371994</v>
      </c>
      <c r="E65" s="132" t="s">
        <v>1904</v>
      </c>
      <c r="F65" s="92"/>
      <c r="G65" s="92"/>
      <c r="H65" s="92"/>
      <c r="I65" s="92"/>
      <c r="J65" s="92"/>
      <c r="K65" s="92"/>
      <c r="L65" s="92"/>
      <c r="M65" s="92"/>
      <c r="N65" s="92"/>
      <c r="O65" s="92"/>
      <c r="P65" s="92"/>
      <c r="Q65" s="92"/>
      <c r="R65" s="92"/>
    </row>
    <row r="66" spans="1:18" ht="12.75">
      <c r="A66" s="54" t="s">
        <v>2009</v>
      </c>
      <c r="B66" s="54">
        <v>35</v>
      </c>
      <c r="C66" s="55">
        <f t="shared" si="2"/>
        <v>1.2345886736789187</v>
      </c>
      <c r="D66" s="55"/>
      <c r="E66" s="242" t="s">
        <v>322</v>
      </c>
      <c r="F66" s="92"/>
      <c r="G66" s="92"/>
      <c r="H66" s="150"/>
      <c r="I66" s="92"/>
      <c r="J66" s="92"/>
      <c r="K66" s="92"/>
      <c r="L66" s="92"/>
      <c r="M66" s="92"/>
      <c r="N66" s="92"/>
      <c r="O66" s="92"/>
      <c r="P66" s="92"/>
      <c r="Q66" s="92"/>
      <c r="R66" s="92"/>
    </row>
    <row r="67" spans="1:18" ht="12.75">
      <c r="A67" s="147" t="s">
        <v>2009</v>
      </c>
      <c r="B67" s="57">
        <v>40</v>
      </c>
      <c r="C67" s="55">
        <f t="shared" si="2"/>
        <v>1.4109584842044784</v>
      </c>
      <c r="D67" s="55"/>
      <c r="E67" s="238" t="s">
        <v>1172</v>
      </c>
      <c r="F67" s="92"/>
      <c r="G67" s="92"/>
      <c r="H67" s="150"/>
      <c r="I67" s="92"/>
      <c r="J67" s="92"/>
      <c r="K67" s="92"/>
      <c r="L67" s="92"/>
      <c r="M67" s="92"/>
      <c r="N67" s="92"/>
      <c r="O67" s="92"/>
      <c r="P67" s="92"/>
      <c r="Q67" s="92"/>
      <c r="R67" s="92"/>
    </row>
    <row r="68" spans="1:18" ht="12.75">
      <c r="A68" s="147" t="s">
        <v>2009</v>
      </c>
      <c r="B68" s="147">
        <v>23</v>
      </c>
      <c r="C68" s="55">
        <f t="shared" si="2"/>
        <v>0.8113011284175751</v>
      </c>
      <c r="D68" s="160"/>
      <c r="E68" s="241" t="s">
        <v>321</v>
      </c>
      <c r="F68" s="92"/>
      <c r="G68" s="92"/>
      <c r="H68" s="92"/>
      <c r="J68" s="92"/>
      <c r="K68" s="92"/>
      <c r="L68" s="92"/>
      <c r="M68" s="92"/>
      <c r="N68" s="92"/>
      <c r="O68" s="92"/>
      <c r="P68" s="92"/>
      <c r="Q68" s="92"/>
      <c r="R68" s="92"/>
    </row>
    <row r="69" spans="1:18" ht="12.75">
      <c r="A69" s="147" t="s">
        <v>2009</v>
      </c>
      <c r="B69" s="57">
        <v>60</v>
      </c>
      <c r="C69" s="55">
        <f t="shared" si="2"/>
        <v>2.116437726306718</v>
      </c>
      <c r="D69" s="55"/>
      <c r="E69" s="238" t="s">
        <v>24</v>
      </c>
      <c r="F69" s="92"/>
      <c r="G69" s="92"/>
      <c r="H69" s="92"/>
      <c r="J69" s="92"/>
      <c r="K69" s="92"/>
      <c r="L69" s="92"/>
      <c r="M69" s="92"/>
      <c r="N69" s="92"/>
      <c r="O69" s="92"/>
      <c r="P69" s="92"/>
      <c r="Q69" s="92"/>
      <c r="R69" s="92"/>
    </row>
    <row r="70" spans="1:18" ht="13.5" thickBot="1">
      <c r="A70" s="67" t="s">
        <v>2009</v>
      </c>
      <c r="B70" s="57">
        <v>1455</v>
      </c>
      <c r="C70" s="55">
        <f t="shared" si="2"/>
        <v>51.3236148629379</v>
      </c>
      <c r="D70" s="55">
        <f>C70/16</f>
        <v>3.207725928933619</v>
      </c>
      <c r="E70" s="238" t="s">
        <v>25</v>
      </c>
      <c r="F70" s="92"/>
      <c r="G70" s="92"/>
      <c r="H70" s="92"/>
      <c r="J70" s="92"/>
      <c r="K70" s="92"/>
      <c r="L70" s="92"/>
      <c r="M70" s="92"/>
      <c r="N70" s="92"/>
      <c r="O70" s="92"/>
      <c r="P70" s="92"/>
      <c r="Q70" s="92"/>
      <c r="R70" s="92"/>
    </row>
    <row r="71" spans="1:18" ht="13.5" thickBot="1">
      <c r="A71" s="302" t="s">
        <v>662</v>
      </c>
      <c r="B71" s="103">
        <v>57</v>
      </c>
      <c r="C71" s="55">
        <f t="shared" si="2"/>
        <v>2.010615839991382</v>
      </c>
      <c r="D71" s="55"/>
      <c r="E71" s="132" t="s">
        <v>1194</v>
      </c>
      <c r="F71" s="134"/>
      <c r="G71" s="92"/>
      <c r="H71" s="92"/>
      <c r="J71" s="92"/>
      <c r="K71" s="92"/>
      <c r="L71" s="92"/>
      <c r="M71" s="92"/>
      <c r="N71" s="92"/>
      <c r="O71" s="92"/>
      <c r="P71" s="92"/>
      <c r="Q71" s="92"/>
      <c r="R71" s="92"/>
    </row>
    <row r="72" spans="1:18" ht="12.75">
      <c r="A72" s="303" t="s">
        <v>662</v>
      </c>
      <c r="B72" s="57">
        <f>SUM(B57:B71)</f>
        <v>2694</v>
      </c>
      <c r="C72" s="115">
        <f t="shared" si="2"/>
        <v>95.02805391117163</v>
      </c>
      <c r="D72" s="55">
        <f>C72/16</f>
        <v>5.939253369448227</v>
      </c>
      <c r="E72" s="238" t="s">
        <v>1509</v>
      </c>
      <c r="F72" s="92"/>
      <c r="G72" s="92"/>
      <c r="H72" s="92"/>
      <c r="J72" s="92"/>
      <c r="K72" s="92"/>
      <c r="L72" s="92"/>
      <c r="M72" s="92"/>
      <c r="N72" s="92"/>
      <c r="O72" s="92"/>
      <c r="P72" s="92"/>
      <c r="Q72" s="92"/>
      <c r="R72" s="92"/>
    </row>
    <row r="73" spans="1:18" ht="12.75">
      <c r="A73" s="304" t="s">
        <v>662</v>
      </c>
      <c r="B73" s="57">
        <f>B55+B72</f>
        <v>11412</v>
      </c>
      <c r="C73" s="181">
        <f t="shared" si="2"/>
        <v>402.5464555435377</v>
      </c>
      <c r="D73" s="55">
        <f>C73/16</f>
        <v>25.159153471471107</v>
      </c>
      <c r="E73" s="63" t="s">
        <v>2086</v>
      </c>
      <c r="F73" s="92"/>
      <c r="G73" s="92"/>
      <c r="H73" s="92"/>
      <c r="J73" s="92"/>
      <c r="K73" s="92"/>
      <c r="L73" s="92"/>
      <c r="M73" s="92"/>
      <c r="N73" s="92"/>
      <c r="O73" s="92"/>
      <c r="P73" s="92"/>
      <c r="Q73" s="92"/>
      <c r="R73" s="92"/>
    </row>
    <row r="74" spans="1:18" ht="12.75">
      <c r="A74" s="114" t="s">
        <v>2009</v>
      </c>
      <c r="B74" s="54"/>
      <c r="C74" s="54"/>
      <c r="D74" s="55" t="s">
        <v>1096</v>
      </c>
      <c r="E74" s="132"/>
      <c r="F74" s="92"/>
      <c r="G74" s="92"/>
      <c r="H74" s="92"/>
      <c r="J74" s="92"/>
      <c r="K74" s="92"/>
      <c r="L74" s="92"/>
      <c r="M74" s="92"/>
      <c r="N74" s="92"/>
      <c r="O74" s="92"/>
      <c r="P74" s="92"/>
      <c r="Q74" s="92"/>
      <c r="R74" s="92"/>
    </row>
    <row r="75" spans="1:18" ht="12.75">
      <c r="A75" s="114" t="s">
        <v>1717</v>
      </c>
      <c r="B75" s="54"/>
      <c r="C75" s="54"/>
      <c r="D75" s="55" t="s">
        <v>1622</v>
      </c>
      <c r="E75" s="132"/>
      <c r="F75" s="92"/>
      <c r="G75" s="92"/>
      <c r="H75" s="92"/>
      <c r="J75" s="92"/>
      <c r="K75" s="92"/>
      <c r="L75" s="92"/>
      <c r="M75" s="92"/>
      <c r="N75" s="92"/>
      <c r="O75" s="92"/>
      <c r="P75" s="92"/>
      <c r="Q75" s="92"/>
      <c r="R75" s="92"/>
    </row>
    <row r="76" spans="1:18" ht="12.75">
      <c r="A76" s="114" t="s">
        <v>1717</v>
      </c>
      <c r="B76" s="54"/>
      <c r="C76" s="54"/>
      <c r="D76" s="55" t="s">
        <v>1624</v>
      </c>
      <c r="E76" s="132"/>
      <c r="F76" s="92"/>
      <c r="G76" s="92"/>
      <c r="H76" s="92"/>
      <c r="J76" s="92"/>
      <c r="K76" s="92"/>
      <c r="L76" s="92"/>
      <c r="M76" s="92"/>
      <c r="N76" s="92"/>
      <c r="O76" s="92"/>
      <c r="P76" s="92"/>
      <c r="Q76" s="92"/>
      <c r="R76" s="92"/>
    </row>
    <row r="77" spans="1:18" ht="12.75">
      <c r="A77" s="54" t="s">
        <v>1717</v>
      </c>
      <c r="B77" s="54"/>
      <c r="C77" s="54"/>
      <c r="D77" s="132" t="s">
        <v>974</v>
      </c>
      <c r="F77" s="92"/>
      <c r="G77" s="92"/>
      <c r="H77" s="92"/>
      <c r="J77" s="92"/>
      <c r="K77" s="92"/>
      <c r="L77" s="92"/>
      <c r="M77" s="92"/>
      <c r="N77" s="92"/>
      <c r="O77" s="92"/>
      <c r="P77" s="92"/>
      <c r="Q77" s="92"/>
      <c r="R77" s="92"/>
    </row>
    <row r="78" spans="1:18" ht="12.75">
      <c r="A78" s="114" t="s">
        <v>1717</v>
      </c>
      <c r="B78" s="54"/>
      <c r="C78" s="54"/>
      <c r="D78" s="160" t="s">
        <v>1090</v>
      </c>
      <c r="E78" s="132"/>
      <c r="F78" s="92"/>
      <c r="G78" s="92"/>
      <c r="H78" s="92"/>
      <c r="J78" s="92"/>
      <c r="K78" s="92"/>
      <c r="L78" s="92"/>
      <c r="M78" s="92"/>
      <c r="N78" s="92"/>
      <c r="O78" s="92"/>
      <c r="P78" s="92"/>
      <c r="Q78" s="92"/>
      <c r="R78" s="92"/>
    </row>
    <row r="79" spans="1:18" ht="12.75">
      <c r="A79" s="114" t="s">
        <v>265</v>
      </c>
      <c r="B79" s="54"/>
      <c r="C79" s="54"/>
      <c r="D79" s="160" t="s">
        <v>923</v>
      </c>
      <c r="E79" s="132"/>
      <c r="F79" s="92"/>
      <c r="G79" s="92"/>
      <c r="H79" s="92"/>
      <c r="J79" s="92"/>
      <c r="K79" s="92"/>
      <c r="L79" s="92"/>
      <c r="M79" s="92"/>
      <c r="N79" s="92"/>
      <c r="O79" s="92"/>
      <c r="P79" s="92"/>
      <c r="Q79" s="92"/>
      <c r="R79" s="92"/>
    </row>
    <row r="80" spans="1:18" ht="12.75">
      <c r="A80" s="114" t="s">
        <v>265</v>
      </c>
      <c r="B80" s="54"/>
      <c r="C80" s="54"/>
      <c r="D80" s="160" t="s">
        <v>1088</v>
      </c>
      <c r="E80" s="132"/>
      <c r="F80" s="92"/>
      <c r="G80" s="92"/>
      <c r="H80" s="92"/>
      <c r="J80" s="92"/>
      <c r="K80" s="92"/>
      <c r="L80" s="92"/>
      <c r="M80" s="92"/>
      <c r="N80" s="92"/>
      <c r="O80" s="92"/>
      <c r="P80" s="92"/>
      <c r="Q80" s="92"/>
      <c r="R80" s="92"/>
    </row>
    <row r="81" spans="1:18" ht="12.75">
      <c r="A81" s="114" t="s">
        <v>1717</v>
      </c>
      <c r="B81" s="54"/>
      <c r="C81" s="54"/>
      <c r="D81" s="160" t="s">
        <v>221</v>
      </c>
      <c r="E81" s="132"/>
      <c r="F81" s="92"/>
      <c r="G81" s="92"/>
      <c r="H81" s="92"/>
      <c r="J81" s="92"/>
      <c r="K81" s="92"/>
      <c r="L81" s="92"/>
      <c r="M81" s="92"/>
      <c r="N81" s="92"/>
      <c r="O81" s="92"/>
      <c r="P81" s="92"/>
      <c r="Q81" s="92"/>
      <c r="R81" s="92"/>
    </row>
    <row r="82" spans="1:18" ht="12.75">
      <c r="A82" s="114" t="s">
        <v>265</v>
      </c>
      <c r="B82" s="54"/>
      <c r="C82" s="54"/>
      <c r="D82" s="160" t="s">
        <v>1118</v>
      </c>
      <c r="E82" s="132"/>
      <c r="F82" s="92"/>
      <c r="G82" s="92"/>
      <c r="H82" s="92"/>
      <c r="J82" s="92"/>
      <c r="K82" s="92"/>
      <c r="L82" s="92"/>
      <c r="M82" s="92"/>
      <c r="N82" s="92"/>
      <c r="O82" s="92"/>
      <c r="P82" s="92"/>
      <c r="Q82" s="92"/>
      <c r="R82" s="92"/>
    </row>
    <row r="83" spans="1:18" ht="12.75">
      <c r="A83" s="114" t="s">
        <v>663</v>
      </c>
      <c r="B83" s="54"/>
      <c r="C83" s="54"/>
      <c r="D83" s="160" t="s">
        <v>121</v>
      </c>
      <c r="E83" s="132"/>
      <c r="F83" s="92"/>
      <c r="G83" s="92"/>
      <c r="H83" s="92"/>
      <c r="J83" s="92"/>
      <c r="K83" s="92"/>
      <c r="L83" s="92"/>
      <c r="M83" s="92"/>
      <c r="N83" s="92"/>
      <c r="O83" s="92"/>
      <c r="P83" s="92"/>
      <c r="Q83" s="92"/>
      <c r="R83" s="92"/>
    </row>
    <row r="84" spans="1:18" ht="12.75">
      <c r="A84" s="114" t="s">
        <v>265</v>
      </c>
      <c r="B84" s="54"/>
      <c r="C84" s="54"/>
      <c r="D84" s="160" t="s">
        <v>1117</v>
      </c>
      <c r="E84" s="132"/>
      <c r="F84" s="92"/>
      <c r="G84" s="92"/>
      <c r="H84" s="92"/>
      <c r="J84" s="92"/>
      <c r="K84" s="92"/>
      <c r="L84" s="92"/>
      <c r="M84" s="92"/>
      <c r="N84" s="92"/>
      <c r="O84" s="92"/>
      <c r="P84" s="92"/>
      <c r="Q84" s="92"/>
      <c r="R84" s="92"/>
    </row>
    <row r="85" spans="1:18" ht="12.75">
      <c r="A85" s="114" t="s">
        <v>265</v>
      </c>
      <c r="B85" s="54"/>
      <c r="C85" s="54"/>
      <c r="D85" s="160" t="s">
        <v>928</v>
      </c>
      <c r="E85" s="132"/>
      <c r="F85" s="92"/>
      <c r="G85" s="92"/>
      <c r="H85" s="92"/>
      <c r="I85" s="92"/>
      <c r="J85" s="92"/>
      <c r="K85" s="92"/>
      <c r="L85" s="92"/>
      <c r="M85" s="92"/>
      <c r="N85" s="92"/>
      <c r="O85" s="92"/>
      <c r="P85" s="92"/>
      <c r="Q85" s="92"/>
      <c r="R85" s="92"/>
    </row>
    <row r="86" spans="1:18" ht="12.75">
      <c r="A86" s="114" t="s">
        <v>1717</v>
      </c>
      <c r="B86" s="54"/>
      <c r="C86" s="54"/>
      <c r="D86" s="160" t="s">
        <v>1162</v>
      </c>
      <c r="E86" s="132"/>
      <c r="F86" s="92"/>
      <c r="G86" s="92"/>
      <c r="H86" s="92"/>
      <c r="I86" s="92"/>
      <c r="J86" s="92"/>
      <c r="K86" s="92"/>
      <c r="L86" s="92"/>
      <c r="M86" s="92"/>
      <c r="N86" s="92"/>
      <c r="O86" s="92"/>
      <c r="P86" s="92"/>
      <c r="Q86" s="92"/>
      <c r="R86" s="92"/>
    </row>
    <row r="87" spans="1:18" ht="12.75">
      <c r="A87" s="114" t="s">
        <v>1717</v>
      </c>
      <c r="B87" s="54"/>
      <c r="C87" s="54"/>
      <c r="D87" s="160" t="s">
        <v>929</v>
      </c>
      <c r="E87" s="132"/>
      <c r="F87" s="92"/>
      <c r="G87" s="92"/>
      <c r="H87" s="92"/>
      <c r="I87" s="92"/>
      <c r="J87" s="92"/>
      <c r="K87" s="92"/>
      <c r="L87" s="92"/>
      <c r="M87" s="92"/>
      <c r="N87" s="92"/>
      <c r="O87" s="92"/>
      <c r="P87" s="92"/>
      <c r="Q87" s="92"/>
      <c r="R87" s="92"/>
    </row>
    <row r="88" spans="1:18" ht="12.75">
      <c r="A88" s="114" t="s">
        <v>1717</v>
      </c>
      <c r="B88" s="57"/>
      <c r="C88" s="54"/>
      <c r="D88" s="55" t="s">
        <v>884</v>
      </c>
      <c r="E88" s="238"/>
      <c r="F88" s="92"/>
      <c r="G88" s="92"/>
      <c r="H88" s="92"/>
      <c r="I88" s="92"/>
      <c r="J88" s="92"/>
      <c r="K88" s="92"/>
      <c r="L88" s="92"/>
      <c r="M88" s="92"/>
      <c r="N88" s="92"/>
      <c r="O88" s="92"/>
      <c r="P88" s="92"/>
      <c r="Q88" s="92"/>
      <c r="R88" s="92"/>
    </row>
    <row r="89" spans="1:18" ht="12.75">
      <c r="A89" s="114" t="s">
        <v>1717</v>
      </c>
      <c r="B89" s="57"/>
      <c r="C89" s="54"/>
      <c r="D89" s="55" t="s">
        <v>931</v>
      </c>
      <c r="E89" s="238"/>
      <c r="F89" s="92"/>
      <c r="G89" s="92"/>
      <c r="H89" s="92"/>
      <c r="I89" s="92"/>
      <c r="J89" s="92"/>
      <c r="K89" s="92"/>
      <c r="L89" s="92"/>
      <c r="M89" s="92"/>
      <c r="N89" s="92"/>
      <c r="O89" s="92"/>
      <c r="P89" s="92"/>
      <c r="Q89" s="92"/>
      <c r="R89" s="92"/>
    </row>
    <row r="90" spans="1:18" ht="12.75">
      <c r="A90" s="114" t="s">
        <v>32</v>
      </c>
      <c r="B90" s="54"/>
      <c r="C90" s="54"/>
      <c r="D90" s="55" t="s">
        <v>1663</v>
      </c>
      <c r="E90" s="132"/>
      <c r="F90" s="92"/>
      <c r="G90" s="92"/>
      <c r="H90" s="92"/>
      <c r="I90" s="92"/>
      <c r="J90" s="92"/>
      <c r="K90" s="92"/>
      <c r="L90" s="92"/>
      <c r="M90" s="92"/>
      <c r="N90" s="92"/>
      <c r="O90" s="92"/>
      <c r="P90" s="92"/>
      <c r="Q90" s="92"/>
      <c r="R90" s="92"/>
    </row>
    <row r="91" spans="1:18" ht="12.75">
      <c r="A91" s="114" t="s">
        <v>32</v>
      </c>
      <c r="B91" s="54"/>
      <c r="C91" s="54"/>
      <c r="D91" s="55" t="s">
        <v>888</v>
      </c>
      <c r="E91" s="132"/>
      <c r="F91" s="92"/>
      <c r="G91" s="92"/>
      <c r="H91" s="92"/>
      <c r="I91" s="92"/>
      <c r="J91" s="92"/>
      <c r="K91" s="92"/>
      <c r="L91" s="92"/>
      <c r="M91" s="92"/>
      <c r="N91" s="92"/>
      <c r="O91" s="92"/>
      <c r="P91" s="92"/>
      <c r="Q91" s="92"/>
      <c r="R91" s="92"/>
    </row>
    <row r="92" spans="1:18" ht="12.75">
      <c r="A92" s="114" t="s">
        <v>32</v>
      </c>
      <c r="B92" s="54"/>
      <c r="C92" s="54"/>
      <c r="D92" s="55" t="s">
        <v>889</v>
      </c>
      <c r="E92" s="132"/>
      <c r="F92" s="92"/>
      <c r="G92" s="92"/>
      <c r="H92" s="92"/>
      <c r="I92" s="92"/>
      <c r="J92" s="92"/>
      <c r="K92" s="92"/>
      <c r="L92" s="92"/>
      <c r="M92" s="92"/>
      <c r="N92" s="92"/>
      <c r="O92" s="92"/>
      <c r="P92" s="92"/>
      <c r="Q92" s="92"/>
      <c r="R92" s="92"/>
    </row>
    <row r="93" spans="1:18" ht="12.75">
      <c r="A93" s="114" t="s">
        <v>32</v>
      </c>
      <c r="B93" s="54"/>
      <c r="C93" s="54"/>
      <c r="D93" s="55" t="s">
        <v>890</v>
      </c>
      <c r="E93" s="132"/>
      <c r="F93" s="92"/>
      <c r="G93" s="92"/>
      <c r="H93" s="92"/>
      <c r="I93" s="92"/>
      <c r="J93" s="92"/>
      <c r="K93" s="227"/>
      <c r="L93" s="92"/>
      <c r="M93" s="92"/>
      <c r="N93" s="92"/>
      <c r="O93" s="92"/>
      <c r="P93" s="92"/>
      <c r="Q93" s="92"/>
      <c r="R93" s="92"/>
    </row>
    <row r="94" spans="1:18" ht="12.75">
      <c r="A94" s="114" t="s">
        <v>32</v>
      </c>
      <c r="B94" s="54"/>
      <c r="C94" s="54"/>
      <c r="D94" s="55" t="s">
        <v>905</v>
      </c>
      <c r="E94" s="132"/>
      <c r="F94" s="92"/>
      <c r="G94" s="92"/>
      <c r="H94" s="92"/>
      <c r="I94" s="92"/>
      <c r="J94" s="92"/>
      <c r="K94" s="92"/>
      <c r="L94" s="92"/>
      <c r="M94" s="92"/>
      <c r="N94" s="92"/>
      <c r="O94" s="92"/>
      <c r="P94" s="92"/>
      <c r="Q94" s="92"/>
      <c r="R94" s="92"/>
    </row>
    <row r="95" spans="1:18" ht="12.75">
      <c r="A95" s="114" t="s">
        <v>32</v>
      </c>
      <c r="B95" s="54"/>
      <c r="C95" s="54"/>
      <c r="D95" s="55" t="s">
        <v>907</v>
      </c>
      <c r="E95" s="132"/>
      <c r="F95" s="92"/>
      <c r="G95" s="92"/>
      <c r="H95" s="92"/>
      <c r="I95" s="92"/>
      <c r="J95" s="92"/>
      <c r="K95" s="92"/>
      <c r="L95" s="92"/>
      <c r="M95" s="92"/>
      <c r="N95" s="92"/>
      <c r="O95" s="92"/>
      <c r="P95" s="92"/>
      <c r="Q95" s="92"/>
      <c r="R95" s="92"/>
    </row>
    <row r="96" spans="1:18" ht="12.75">
      <c r="A96" s="114" t="s">
        <v>1717</v>
      </c>
      <c r="B96" s="54"/>
      <c r="C96" s="54"/>
      <c r="D96" s="55" t="s">
        <v>588</v>
      </c>
      <c r="E96" s="132"/>
      <c r="F96" s="92"/>
      <c r="G96" s="92"/>
      <c r="H96" s="92"/>
      <c r="I96" s="92"/>
      <c r="J96" s="92"/>
      <c r="K96" s="92"/>
      <c r="L96" s="92"/>
      <c r="M96" s="92"/>
      <c r="N96" s="92"/>
      <c r="O96" s="92"/>
      <c r="P96" s="92"/>
      <c r="Q96" s="92"/>
      <c r="R96" s="92"/>
    </row>
    <row r="97" spans="1:18" ht="13.5" thickBot="1">
      <c r="A97" s="215" t="s">
        <v>32</v>
      </c>
      <c r="B97" s="57"/>
      <c r="C97" s="54"/>
      <c r="D97" s="56" t="s">
        <v>33</v>
      </c>
      <c r="E97" s="238"/>
      <c r="F97" s="92"/>
      <c r="G97" s="92"/>
      <c r="H97" s="92"/>
      <c r="I97" s="92"/>
      <c r="J97" s="92"/>
      <c r="K97" s="92"/>
      <c r="L97" s="92"/>
      <c r="M97" s="92"/>
      <c r="N97" s="92"/>
      <c r="O97" s="92"/>
      <c r="P97" s="92"/>
      <c r="Q97" s="92"/>
      <c r="R97" s="92"/>
    </row>
    <row r="98" spans="1:18" ht="12.75">
      <c r="A98" s="323"/>
      <c r="B98" s="103"/>
      <c r="C98" s="54"/>
      <c r="D98" s="55" t="s">
        <v>921</v>
      </c>
      <c r="E98" s="238"/>
      <c r="F98" s="92"/>
      <c r="G98" s="92"/>
      <c r="H98" s="92"/>
      <c r="I98" s="92"/>
      <c r="J98" s="92"/>
      <c r="K98" s="92"/>
      <c r="L98" s="92"/>
      <c r="M98" s="92"/>
      <c r="N98" s="92"/>
      <c r="O98" s="92"/>
      <c r="P98" s="92"/>
      <c r="Q98" s="92"/>
      <c r="R98" s="92"/>
    </row>
    <row r="99" spans="1:18" ht="12.75">
      <c r="A99" s="54" t="s">
        <v>2055</v>
      </c>
      <c r="B99" s="103"/>
      <c r="C99" s="54"/>
      <c r="D99" s="54" t="s">
        <v>1189</v>
      </c>
      <c r="E99" s="207"/>
      <c r="F99" s="92"/>
      <c r="G99" s="92"/>
      <c r="H99" s="92"/>
      <c r="O99" s="92"/>
      <c r="P99" s="92"/>
      <c r="Q99" s="92"/>
      <c r="R99" s="92"/>
    </row>
    <row r="100" spans="1:18" ht="12.75">
      <c r="A100" s="172" t="s">
        <v>1717</v>
      </c>
      <c r="B100" s="54"/>
      <c r="C100" s="54"/>
      <c r="D100" s="132" t="s">
        <v>479</v>
      </c>
      <c r="E100" s="65"/>
      <c r="F100" s="92"/>
      <c r="G100" s="92"/>
      <c r="H100" s="92"/>
      <c r="O100" s="92"/>
      <c r="P100" s="92"/>
      <c r="Q100" s="92"/>
      <c r="R100" s="92"/>
    </row>
    <row r="101" spans="1:18" ht="12.75">
      <c r="A101" s="54" t="s">
        <v>1717</v>
      </c>
      <c r="B101" s="54"/>
      <c r="C101" s="54"/>
      <c r="D101" s="54" t="s">
        <v>909</v>
      </c>
      <c r="E101" s="245"/>
      <c r="F101" s="92"/>
      <c r="G101" s="92"/>
      <c r="H101" s="92"/>
      <c r="O101" s="92"/>
      <c r="P101" s="92"/>
      <c r="Q101" s="92"/>
      <c r="R101" s="92"/>
    </row>
    <row r="102" spans="1:18" ht="12.75">
      <c r="A102" s="54" t="s">
        <v>32</v>
      </c>
      <c r="B102" s="54"/>
      <c r="C102" s="54"/>
      <c r="D102" s="54" t="s">
        <v>910</v>
      </c>
      <c r="E102" s="132"/>
      <c r="F102" s="92"/>
      <c r="G102" s="92"/>
      <c r="H102" s="92"/>
      <c r="O102" s="92"/>
      <c r="P102" s="92"/>
      <c r="Q102" s="92"/>
      <c r="R102" s="92"/>
    </row>
    <row r="103" spans="1:18" ht="12.75">
      <c r="A103" s="54" t="s">
        <v>32</v>
      </c>
      <c r="B103" s="54"/>
      <c r="C103" s="54"/>
      <c r="D103" s="54" t="s">
        <v>912</v>
      </c>
      <c r="E103" s="132"/>
      <c r="F103" s="92"/>
      <c r="G103" s="92"/>
      <c r="H103" s="92"/>
      <c r="O103" s="92"/>
      <c r="P103" s="92"/>
      <c r="Q103" s="92"/>
      <c r="R103" s="92"/>
    </row>
    <row r="104" spans="1:18" ht="12.75">
      <c r="A104" s="54" t="s">
        <v>32</v>
      </c>
      <c r="B104" s="54"/>
      <c r="C104" s="54"/>
      <c r="D104" s="54" t="s">
        <v>913</v>
      </c>
      <c r="E104" s="132"/>
      <c r="F104" s="92"/>
      <c r="G104" s="92"/>
      <c r="H104" s="92"/>
      <c r="O104" s="92"/>
      <c r="P104" s="92"/>
      <c r="Q104" s="92"/>
      <c r="R104" s="92"/>
    </row>
    <row r="105" spans="1:18" ht="12.75">
      <c r="A105" s="54" t="s">
        <v>32</v>
      </c>
      <c r="B105" s="54"/>
      <c r="C105" s="54"/>
      <c r="D105" s="54" t="s">
        <v>1411</v>
      </c>
      <c r="E105" s="132"/>
      <c r="F105" s="92"/>
      <c r="G105" s="92"/>
      <c r="H105" s="92"/>
      <c r="O105" s="92"/>
      <c r="P105" s="92"/>
      <c r="Q105" s="92"/>
      <c r="R105" s="92"/>
    </row>
    <row r="106" spans="1:18" ht="12.75">
      <c r="A106" s="54" t="s">
        <v>32</v>
      </c>
      <c r="B106" s="66"/>
      <c r="C106" s="54"/>
      <c r="D106" s="54" t="s">
        <v>1089</v>
      </c>
      <c r="E106" s="132"/>
      <c r="F106" s="92"/>
      <c r="G106" s="92"/>
      <c r="H106" s="92"/>
      <c r="O106" s="92"/>
      <c r="P106" s="92"/>
      <c r="Q106" s="92"/>
      <c r="R106" s="92"/>
    </row>
    <row r="107" spans="1:18" ht="15.75" customHeight="1">
      <c r="A107" s="54"/>
      <c r="B107" s="66"/>
      <c r="C107" s="54"/>
      <c r="D107" s="54"/>
      <c r="E107" s="132"/>
      <c r="F107" s="92"/>
      <c r="G107" s="92"/>
      <c r="O107" s="92"/>
      <c r="P107" s="92"/>
      <c r="Q107" s="92"/>
      <c r="R107" s="92"/>
    </row>
    <row r="108" spans="1:18" ht="15.75" customHeight="1">
      <c r="A108" s="54"/>
      <c r="B108" s="66"/>
      <c r="C108" s="54"/>
      <c r="D108" s="54"/>
      <c r="E108" s="132"/>
      <c r="F108" s="92"/>
      <c r="G108" s="92"/>
      <c r="O108" s="92"/>
      <c r="P108" s="92"/>
      <c r="Q108" s="92"/>
      <c r="R108" s="92"/>
    </row>
    <row r="109" spans="1:18" ht="15.75" customHeight="1">
      <c r="A109" s="54"/>
      <c r="B109" s="66"/>
      <c r="C109" s="54"/>
      <c r="D109" s="54"/>
      <c r="E109" s="132"/>
      <c r="F109" s="92"/>
      <c r="G109" s="92"/>
      <c r="O109" s="92"/>
      <c r="P109" s="92"/>
      <c r="Q109" s="92"/>
      <c r="R109" s="92"/>
    </row>
    <row r="110" spans="1:18" ht="15.75" customHeight="1">
      <c r="A110" s="54"/>
      <c r="B110" s="66"/>
      <c r="C110" s="54"/>
      <c r="D110" s="54"/>
      <c r="E110" s="132"/>
      <c r="F110" s="92"/>
      <c r="G110" s="92"/>
      <c r="O110" s="92"/>
      <c r="P110" s="92"/>
      <c r="Q110" s="92"/>
      <c r="R110" s="92"/>
    </row>
    <row r="111" spans="1:18" ht="15.75" customHeight="1">
      <c r="A111" s="54"/>
      <c r="B111" s="66"/>
      <c r="C111" s="54"/>
      <c r="D111" s="54"/>
      <c r="E111" s="132"/>
      <c r="F111" s="92"/>
      <c r="G111" s="92"/>
      <c r="O111" s="92"/>
      <c r="P111" s="92"/>
      <c r="Q111" s="92"/>
      <c r="R111" s="92"/>
    </row>
    <row r="112" spans="1:18" ht="12.75">
      <c r="A112" s="207" t="s">
        <v>1074</v>
      </c>
      <c r="B112" s="92"/>
      <c r="C112" s="92"/>
      <c r="D112" s="92"/>
      <c r="E112" s="92"/>
      <c r="F112" s="92"/>
      <c r="G112" s="92"/>
      <c r="O112" s="92"/>
      <c r="P112" s="92"/>
      <c r="Q112" s="92"/>
      <c r="R112" s="92"/>
    </row>
    <row r="113" spans="1:18" ht="12.75">
      <c r="A113" s="92" t="s">
        <v>1075</v>
      </c>
      <c r="B113" s="92"/>
      <c r="C113" s="92"/>
      <c r="D113" s="92" t="s">
        <v>1076</v>
      </c>
      <c r="E113" s="92"/>
      <c r="F113" s="92"/>
      <c r="G113" s="92" t="s">
        <v>1077</v>
      </c>
      <c r="O113" s="92"/>
      <c r="P113" s="92"/>
      <c r="Q113" s="92"/>
      <c r="R113" s="92"/>
    </row>
    <row r="114" spans="1:18" ht="12.75">
      <c r="A114" s="92" t="s">
        <v>1078</v>
      </c>
      <c r="B114" s="92"/>
      <c r="C114" s="92"/>
      <c r="D114" s="92"/>
      <c r="E114" s="92"/>
      <c r="F114" s="154"/>
      <c r="G114" s="154"/>
      <c r="O114" s="92"/>
      <c r="P114" s="92"/>
      <c r="Q114" s="92"/>
      <c r="R114" s="92"/>
    </row>
    <row r="115" spans="1:18" ht="12.75">
      <c r="A115" s="92"/>
      <c r="B115" s="92"/>
      <c r="C115" s="92"/>
      <c r="D115" s="92"/>
      <c r="E115" s="92"/>
      <c r="F115" s="92"/>
      <c r="G115" s="92"/>
      <c r="O115" s="92"/>
      <c r="P115" s="92"/>
      <c r="Q115" s="92"/>
      <c r="R115" s="92"/>
    </row>
    <row r="116" spans="1:18" ht="12.75">
      <c r="A116" s="92"/>
      <c r="B116" s="92"/>
      <c r="C116" s="92"/>
      <c r="D116" s="92"/>
      <c r="E116" s="92"/>
      <c r="F116" s="92"/>
      <c r="G116" s="92"/>
      <c r="O116" s="92"/>
      <c r="P116" s="92"/>
      <c r="Q116" s="92"/>
      <c r="R116" s="92"/>
    </row>
    <row r="117" spans="1:18" ht="12.75">
      <c r="A117" s="92"/>
      <c r="B117" s="92"/>
      <c r="C117" s="92"/>
      <c r="D117" s="92"/>
      <c r="E117" s="92"/>
      <c r="F117" s="92"/>
      <c r="G117" s="92"/>
      <c r="O117" s="92"/>
      <c r="P117" s="92"/>
      <c r="Q117" s="92"/>
      <c r="R117" s="92"/>
    </row>
    <row r="118" spans="1:18" ht="12.75">
      <c r="A118" s="92"/>
      <c r="B118" s="92"/>
      <c r="C118" s="92"/>
      <c r="D118" s="92"/>
      <c r="E118" s="92"/>
      <c r="F118" s="92"/>
      <c r="G118" s="92"/>
      <c r="O118" s="92"/>
      <c r="P118" s="92"/>
      <c r="Q118" s="92"/>
      <c r="R118" s="92"/>
    </row>
    <row r="119" spans="1:18" ht="12.75">
      <c r="A119" s="92"/>
      <c r="B119" s="92"/>
      <c r="C119" s="92"/>
      <c r="D119" s="92"/>
      <c r="E119" s="92"/>
      <c r="F119" s="92"/>
      <c r="G119" s="92"/>
      <c r="O119" s="92"/>
      <c r="P119" s="92"/>
      <c r="Q119" s="92"/>
      <c r="R119" s="92"/>
    </row>
    <row r="120" spans="1:18" ht="10.5" customHeight="1">
      <c r="A120" s="65"/>
      <c r="B120" s="65" t="s">
        <v>664</v>
      </c>
      <c r="C120" s="92"/>
      <c r="D120" s="92"/>
      <c r="E120" s="92"/>
      <c r="O120" s="92"/>
      <c r="P120" s="92"/>
      <c r="Q120" s="92"/>
      <c r="R120" s="92"/>
    </row>
    <row r="121" spans="1:18" ht="10.5" customHeight="1">
      <c r="A121" s="65"/>
      <c r="B121" s="65" t="s">
        <v>665</v>
      </c>
      <c r="C121" s="65"/>
      <c r="D121" s="65"/>
      <c r="E121" s="65"/>
      <c r="O121" s="92"/>
      <c r="P121" s="92"/>
      <c r="Q121" s="92"/>
      <c r="R121" s="92"/>
    </row>
    <row r="122" spans="1:18" ht="12.75">
      <c r="A122" s="65"/>
      <c r="B122" s="65" t="s">
        <v>1069</v>
      </c>
      <c r="C122" s="65"/>
      <c r="D122" s="65"/>
      <c r="E122" s="65"/>
      <c r="O122" s="92"/>
      <c r="P122" s="92"/>
      <c r="Q122" s="92"/>
      <c r="R122" s="92"/>
    </row>
    <row r="123" spans="1:18" ht="12.75">
      <c r="A123" s="65"/>
      <c r="B123" s="259" t="s">
        <v>673</v>
      </c>
      <c r="C123" s="65"/>
      <c r="D123" s="65"/>
      <c r="E123" s="65"/>
      <c r="O123" s="92"/>
      <c r="P123" s="92"/>
      <c r="Q123" s="92"/>
      <c r="R123" s="92"/>
    </row>
    <row r="124" spans="1:18" ht="12.75">
      <c r="A124" s="65"/>
      <c r="B124" s="259" t="s">
        <v>672</v>
      </c>
      <c r="C124" s="65"/>
      <c r="D124" s="65"/>
      <c r="E124" s="65"/>
      <c r="O124" s="92"/>
      <c r="P124" s="92"/>
      <c r="Q124" s="92"/>
      <c r="R124" s="92"/>
    </row>
    <row r="125" spans="1:18" ht="12.75">
      <c r="A125" s="65"/>
      <c r="B125" s="259" t="s">
        <v>1997</v>
      </c>
      <c r="C125" s="65"/>
      <c r="D125" s="65"/>
      <c r="E125" s="65"/>
      <c r="O125" s="92"/>
      <c r="P125" s="92"/>
      <c r="Q125" s="92"/>
      <c r="R125" s="92"/>
    </row>
    <row r="126" spans="1:18" ht="12.75">
      <c r="A126" s="65"/>
      <c r="B126" s="259" t="s">
        <v>666</v>
      </c>
      <c r="O126" s="92"/>
      <c r="P126" s="92"/>
      <c r="Q126" s="92"/>
      <c r="R126" s="92"/>
    </row>
    <row r="127" spans="1:18" ht="12.75">
      <c r="A127" s="65"/>
      <c r="B127" s="259" t="s">
        <v>667</v>
      </c>
      <c r="C127" s="65"/>
      <c r="D127" s="65"/>
      <c r="E127" s="65"/>
      <c r="O127" s="92"/>
      <c r="P127" s="92"/>
      <c r="Q127" s="92"/>
      <c r="R127" s="92"/>
    </row>
    <row r="128" spans="1:18" ht="12.75">
      <c r="A128" s="65"/>
      <c r="B128" s="259" t="s">
        <v>668</v>
      </c>
      <c r="O128" s="92"/>
      <c r="P128" s="92"/>
      <c r="Q128" s="92"/>
      <c r="R128" s="92"/>
    </row>
    <row r="129" spans="1:18" ht="12.75">
      <c r="A129" s="65"/>
      <c r="B129" s="259" t="s">
        <v>1157</v>
      </c>
      <c r="C129" s="65"/>
      <c r="D129" s="65"/>
      <c r="E129" s="65"/>
      <c r="O129" s="92"/>
      <c r="P129" s="92"/>
      <c r="Q129" s="92"/>
      <c r="R129" s="92"/>
    </row>
    <row r="130" spans="1:18" ht="12.75">
      <c r="A130" s="65"/>
      <c r="B130" s="259" t="s">
        <v>1775</v>
      </c>
      <c r="O130" s="92"/>
      <c r="P130" s="92"/>
      <c r="Q130" s="92"/>
      <c r="R130" s="92"/>
    </row>
    <row r="131" spans="1:18" ht="12.75">
      <c r="A131" s="65"/>
      <c r="B131" s="259" t="s">
        <v>265</v>
      </c>
      <c r="C131" s="65"/>
      <c r="D131" s="65"/>
      <c r="E131" s="65"/>
      <c r="O131" s="92"/>
      <c r="P131" s="92"/>
      <c r="Q131" s="92"/>
      <c r="R131" s="92"/>
    </row>
    <row r="132" spans="1:18" ht="12.75">
      <c r="A132" s="65"/>
      <c r="B132" s="259" t="s">
        <v>1717</v>
      </c>
      <c r="O132" s="92"/>
      <c r="P132" s="92"/>
      <c r="Q132" s="92"/>
      <c r="R132" s="92"/>
    </row>
    <row r="133" spans="1:18" ht="12.75">
      <c r="A133" s="72"/>
      <c r="B133" s="308" t="s">
        <v>669</v>
      </c>
      <c r="C133" s="65"/>
      <c r="D133" s="65"/>
      <c r="E133" s="65"/>
      <c r="O133" s="92"/>
      <c r="P133" s="92"/>
      <c r="Q133" s="92"/>
      <c r="R133" s="92"/>
    </row>
    <row r="134" spans="1:18" ht="12.75">
      <c r="A134" s="72"/>
      <c r="B134" s="308" t="s">
        <v>2124</v>
      </c>
      <c r="C134" s="65"/>
      <c r="D134" s="65"/>
      <c r="E134" s="65"/>
      <c r="O134" s="92"/>
      <c r="P134" s="92"/>
      <c r="Q134" s="92"/>
      <c r="R134" s="92"/>
    </row>
    <row r="135" spans="1:18" ht="12.75">
      <c r="A135" s="65"/>
      <c r="B135" s="259" t="s">
        <v>670</v>
      </c>
      <c r="C135" s="65"/>
      <c r="D135" s="65"/>
      <c r="E135" s="65"/>
      <c r="O135" s="92"/>
      <c r="P135" s="92"/>
      <c r="Q135" s="92"/>
      <c r="R135" s="92"/>
    </row>
    <row r="136" spans="1:18" ht="12.75">
      <c r="A136" s="65"/>
      <c r="B136" s="259" t="s">
        <v>699</v>
      </c>
      <c r="C136" s="65"/>
      <c r="D136" s="65"/>
      <c r="E136" s="65"/>
      <c r="O136" s="92"/>
      <c r="P136" s="92"/>
      <c r="Q136" s="92"/>
      <c r="R136" s="92"/>
    </row>
    <row r="137" spans="1:18" ht="12.75">
      <c r="A137" s="65"/>
      <c r="B137" s="259" t="s">
        <v>671</v>
      </c>
      <c r="C137" s="65"/>
      <c r="D137" s="65"/>
      <c r="E137" s="65"/>
      <c r="O137" s="92"/>
      <c r="P137" s="92"/>
      <c r="Q137" s="92"/>
      <c r="R137" s="92"/>
    </row>
    <row r="138" spans="15:18" ht="12.75">
      <c r="O138" s="92"/>
      <c r="P138" s="92"/>
      <c r="Q138" s="92"/>
      <c r="R138" s="92"/>
    </row>
    <row r="139" spans="15:18" ht="12.75">
      <c r="O139" s="92"/>
      <c r="P139" s="92"/>
      <c r="Q139" s="92"/>
      <c r="R139" s="92"/>
    </row>
    <row r="140" spans="15:18" ht="12.75">
      <c r="O140" s="92"/>
      <c r="P140" s="92"/>
      <c r="Q140" s="92"/>
      <c r="R140" s="92"/>
    </row>
    <row r="141" spans="15:18" ht="12.75">
      <c r="O141" s="92"/>
      <c r="P141" s="92"/>
      <c r="Q141" s="92"/>
      <c r="R141" s="92"/>
    </row>
    <row r="142" spans="15:18" ht="12.75">
      <c r="O142" s="92"/>
      <c r="P142" s="92"/>
      <c r="Q142" s="92"/>
      <c r="R142" s="92"/>
    </row>
    <row r="143" spans="15:18" ht="12.75">
      <c r="O143" s="92"/>
      <c r="P143" s="92"/>
      <c r="Q143" s="92"/>
      <c r="R143" s="92"/>
    </row>
    <row r="144" spans="15:18" ht="12.75">
      <c r="O144" s="92"/>
      <c r="P144" s="92"/>
      <c r="Q144" s="92"/>
      <c r="R144" s="92"/>
    </row>
    <row r="145" spans="15:18" ht="12.75">
      <c r="O145" s="92"/>
      <c r="P145" s="92"/>
      <c r="Q145" s="92"/>
      <c r="R145" s="92"/>
    </row>
    <row r="146" spans="15:18" ht="12.75">
      <c r="O146" s="92"/>
      <c r="P146" s="92"/>
      <c r="Q146" s="92"/>
      <c r="R146" s="92"/>
    </row>
    <row r="147" spans="15:18" ht="12.75">
      <c r="O147" s="92"/>
      <c r="P147" s="92"/>
      <c r="Q147" s="92"/>
      <c r="R147" s="92"/>
    </row>
    <row r="148" spans="15:18" ht="12.75">
      <c r="O148" s="92"/>
      <c r="P148" s="92"/>
      <c r="Q148" s="92"/>
      <c r="R148" s="92"/>
    </row>
    <row r="149" spans="15:18" ht="12.75">
      <c r="O149" s="92"/>
      <c r="P149" s="92"/>
      <c r="Q149" s="92"/>
      <c r="R149" s="92"/>
    </row>
    <row r="150" spans="15:18" ht="12.75">
      <c r="O150" s="92"/>
      <c r="P150" s="92"/>
      <c r="Q150" s="92"/>
      <c r="R150" s="92"/>
    </row>
    <row r="151" spans="15:18" ht="12.75">
      <c r="O151" s="92"/>
      <c r="P151" s="92"/>
      <c r="Q151" s="92"/>
      <c r="R151" s="92"/>
    </row>
  </sheetData>
  <mergeCells count="4">
    <mergeCell ref="A15:A17"/>
    <mergeCell ref="B15:B17"/>
    <mergeCell ref="C15:C17"/>
    <mergeCell ref="D15:D17"/>
  </mergeCells>
  <printOptions/>
  <pageMargins left="0.75" right="0.75" top="0.24" bottom="0.24" header="0.15" footer="0.2"/>
  <pageSetup horizontalDpi="300" verticalDpi="300" orientation="portrait" r:id="rId1"/>
  <rowBreaks count="2" manualBreakCount="2">
    <brk id="55" max="9" man="1"/>
    <brk id="114" max="9" man="1"/>
  </rowBreaks>
</worksheet>
</file>

<file path=xl/worksheets/sheet10.xml><?xml version="1.0" encoding="utf-8"?>
<worksheet xmlns="http://schemas.openxmlformats.org/spreadsheetml/2006/main" xmlns:r="http://schemas.openxmlformats.org/officeDocument/2006/relationships">
  <dimension ref="A1:S166"/>
  <sheetViews>
    <sheetView workbookViewId="0" topLeftCell="A1">
      <pane ySplit="1" topLeftCell="BM2" activePane="bottomLeft" state="frozen"/>
      <selection pane="topLeft" activeCell="A1" sqref="A1"/>
      <selection pane="bottomLeft" activeCell="E14" sqref="E14"/>
    </sheetView>
  </sheetViews>
  <sheetFormatPr defaultColWidth="9.140625" defaultRowHeight="12.75"/>
  <cols>
    <col min="1" max="1" width="10.140625" style="0" customWidth="1"/>
    <col min="2" max="2" width="6.00390625" style="0" bestFit="1" customWidth="1"/>
    <col min="3" max="3" width="5.00390625" style="0" customWidth="1"/>
    <col min="4" max="4" width="5.421875" style="0" customWidth="1"/>
    <col min="7" max="7" width="8.57421875" style="0" customWidth="1"/>
  </cols>
  <sheetData>
    <row r="1" spans="1:8" ht="12.75">
      <c r="A1" t="s">
        <v>1131</v>
      </c>
      <c r="B1" t="s">
        <v>1132</v>
      </c>
      <c r="C1" t="s">
        <v>1265</v>
      </c>
      <c r="D1" t="s">
        <v>1133</v>
      </c>
      <c r="E1" t="s">
        <v>1135</v>
      </c>
      <c r="H1" t="s">
        <v>1134</v>
      </c>
    </row>
    <row r="2" ht="13.5" thickBot="1">
      <c r="E2" t="s">
        <v>898</v>
      </c>
    </row>
    <row r="3" spans="1:18" ht="13.5" thickBot="1">
      <c r="A3" s="159"/>
      <c r="B3" s="171">
        <v>32</v>
      </c>
      <c r="C3" s="55">
        <f>B3/28.349523</f>
        <v>1.1287667873635827</v>
      </c>
      <c r="D3" s="55">
        <f>C3/16</f>
        <v>0.07054792421022392</v>
      </c>
      <c r="E3" s="59" t="s">
        <v>1709</v>
      </c>
      <c r="F3" s="54"/>
      <c r="G3" s="54"/>
      <c r="H3" s="174"/>
      <c r="I3" s="174"/>
      <c r="J3" s="174"/>
      <c r="K3" s="174"/>
      <c r="L3" s="174"/>
      <c r="M3" s="174"/>
      <c r="N3" s="174"/>
      <c r="O3" s="92"/>
      <c r="P3" s="92"/>
      <c r="Q3" s="92"/>
      <c r="R3" s="92"/>
    </row>
    <row r="4" spans="1:18" ht="13.5" thickBot="1">
      <c r="A4" s="159"/>
      <c r="B4" s="103">
        <v>57</v>
      </c>
      <c r="C4" s="55">
        <f>B4/28.349523</f>
        <v>2.010615839991382</v>
      </c>
      <c r="D4" s="55">
        <f>C4/16</f>
        <v>0.12566348999946136</v>
      </c>
      <c r="E4" s="54" t="s">
        <v>838</v>
      </c>
      <c r="F4" s="54"/>
      <c r="G4" s="54"/>
      <c r="H4" s="92" t="s">
        <v>838</v>
      </c>
      <c r="I4" s="92"/>
      <c r="J4" s="92"/>
      <c r="K4" s="92"/>
      <c r="L4" s="92"/>
      <c r="M4" s="92"/>
      <c r="N4" s="92"/>
      <c r="O4" s="92"/>
      <c r="P4" s="92"/>
      <c r="Q4" s="92"/>
      <c r="R4" s="92"/>
    </row>
    <row r="5" spans="1:18" ht="13.5" thickBot="1">
      <c r="A5" s="159"/>
      <c r="B5" s="103">
        <v>5</v>
      </c>
      <c r="C5" s="55"/>
      <c r="D5" s="55"/>
      <c r="E5" s="56" t="s">
        <v>2081</v>
      </c>
      <c r="F5" s="54"/>
      <c r="G5" s="54"/>
      <c r="H5" s="92" t="s">
        <v>1190</v>
      </c>
      <c r="I5" s="92"/>
      <c r="J5" s="92"/>
      <c r="K5" s="92"/>
      <c r="L5" s="92"/>
      <c r="M5" s="92"/>
      <c r="N5" s="92"/>
      <c r="O5" s="92"/>
      <c r="P5" s="92"/>
      <c r="Q5" s="92"/>
      <c r="R5" s="92"/>
    </row>
    <row r="6" spans="1:18" ht="13.5" thickBot="1">
      <c r="A6" s="159"/>
      <c r="B6" s="103"/>
      <c r="C6" s="55"/>
      <c r="D6" s="55"/>
      <c r="E6" s="56" t="s">
        <v>16</v>
      </c>
      <c r="F6" s="87"/>
      <c r="G6" s="54"/>
      <c r="H6" s="92" t="s">
        <v>1191</v>
      </c>
      <c r="I6" s="92"/>
      <c r="J6" s="92"/>
      <c r="K6" s="92"/>
      <c r="L6" s="92"/>
      <c r="M6" s="94"/>
      <c r="N6" s="92"/>
      <c r="O6" s="134"/>
      <c r="P6" s="92"/>
      <c r="Q6" s="92"/>
      <c r="R6" s="92"/>
    </row>
    <row r="7" spans="1:18" ht="13.5" thickBot="1">
      <c r="A7" s="159"/>
      <c r="B7" s="103">
        <v>20</v>
      </c>
      <c r="C7" s="55"/>
      <c r="D7" s="55"/>
      <c r="E7" s="56" t="s">
        <v>891</v>
      </c>
      <c r="F7" s="54"/>
      <c r="G7" s="54"/>
      <c r="H7" s="92"/>
      <c r="I7" s="92"/>
      <c r="J7" s="92"/>
      <c r="K7" s="92"/>
      <c r="L7" s="92"/>
      <c r="M7" s="92"/>
      <c r="N7" s="92"/>
      <c r="O7" s="92"/>
      <c r="P7" s="92"/>
      <c r="Q7" s="92"/>
      <c r="R7" s="92"/>
    </row>
    <row r="8" spans="1:18" ht="12.75">
      <c r="A8" s="172" t="s">
        <v>892</v>
      </c>
      <c r="B8" s="57">
        <v>160</v>
      </c>
      <c r="C8" s="55">
        <f>B8/28.349523</f>
        <v>5.643833936817914</v>
      </c>
      <c r="D8" s="55">
        <f>C8/16</f>
        <v>0.3527396210511196</v>
      </c>
      <c r="E8" s="96" t="s">
        <v>379</v>
      </c>
      <c r="F8" s="54"/>
      <c r="G8" s="54"/>
      <c r="H8" s="177" t="s">
        <v>378</v>
      </c>
      <c r="I8" s="92"/>
      <c r="J8" s="92"/>
      <c r="K8" s="92"/>
      <c r="L8" s="92"/>
      <c r="M8" s="92"/>
      <c r="N8" s="92"/>
      <c r="O8" s="190" t="s">
        <v>1138</v>
      </c>
      <c r="P8" s="174"/>
      <c r="Q8" s="174"/>
      <c r="R8" s="191"/>
    </row>
    <row r="9" spans="1:18" ht="12.75">
      <c r="A9" s="54" t="s">
        <v>892</v>
      </c>
      <c r="B9" s="54">
        <v>186</v>
      </c>
      <c r="C9" s="55">
        <f>B9/28.349523</f>
        <v>6.560956951550825</v>
      </c>
      <c r="D9" s="55">
        <f>C9/16</f>
        <v>0.41005980947192655</v>
      </c>
      <c r="E9" s="96" t="s">
        <v>648</v>
      </c>
      <c r="F9" s="54"/>
      <c r="G9" s="54"/>
      <c r="H9" s="177" t="s">
        <v>1317</v>
      </c>
      <c r="I9" s="92"/>
      <c r="J9" s="92"/>
      <c r="K9" s="92"/>
      <c r="L9" s="92"/>
      <c r="M9" s="92"/>
      <c r="N9" s="92"/>
      <c r="O9" s="192"/>
      <c r="P9" s="92" t="s">
        <v>1137</v>
      </c>
      <c r="Q9" s="92"/>
      <c r="R9" s="193"/>
    </row>
    <row r="10" spans="1:19" ht="12.75">
      <c r="A10" s="54" t="s">
        <v>1621</v>
      </c>
      <c r="B10" s="57">
        <v>1051</v>
      </c>
      <c r="C10" s="55">
        <f>B10/28.349523</f>
        <v>37.07293417247267</v>
      </c>
      <c r="D10" s="55">
        <f>C10/16</f>
        <v>2.317058385779542</v>
      </c>
      <c r="E10" s="96" t="s">
        <v>653</v>
      </c>
      <c r="F10" s="54"/>
      <c r="G10" s="54"/>
      <c r="H10" s="92" t="s">
        <v>650</v>
      </c>
      <c r="I10" s="57">
        <v>500</v>
      </c>
      <c r="J10" s="92" t="s">
        <v>651</v>
      </c>
      <c r="K10" s="57">
        <v>537</v>
      </c>
      <c r="L10" s="92" t="s">
        <v>652</v>
      </c>
      <c r="M10" s="54">
        <v>14</v>
      </c>
      <c r="N10" s="92" t="s">
        <v>902</v>
      </c>
      <c r="O10" s="196">
        <f>SUM(B8:B11)</f>
        <v>1508</v>
      </c>
      <c r="P10" s="55">
        <f>O10/28.349523</f>
        <v>53.193134854508834</v>
      </c>
      <c r="Q10" s="87">
        <f>P10/16</f>
        <v>3.324570928406802</v>
      </c>
      <c r="R10" s="193"/>
      <c r="S10" s="92" t="s">
        <v>1318</v>
      </c>
    </row>
    <row r="11" spans="1:18" ht="13.5" thickBot="1">
      <c r="A11" s="54" t="s">
        <v>892</v>
      </c>
      <c r="B11" s="57">
        <v>111</v>
      </c>
      <c r="C11" s="55">
        <f>B11/28.349523</f>
        <v>3.9154097936674277</v>
      </c>
      <c r="D11" s="55">
        <f>C11/16</f>
        <v>0.24471311210421423</v>
      </c>
      <c r="E11" s="96" t="s">
        <v>654</v>
      </c>
      <c r="F11" s="54"/>
      <c r="G11" s="54"/>
      <c r="H11" s="139" t="s">
        <v>2088</v>
      </c>
      <c r="I11" s="92"/>
      <c r="J11" s="92"/>
      <c r="K11" s="92"/>
      <c r="L11" s="92"/>
      <c r="M11" s="92"/>
      <c r="N11" s="92"/>
      <c r="O11" s="194" t="s">
        <v>1603</v>
      </c>
      <c r="P11" s="176" t="s">
        <v>463</v>
      </c>
      <c r="Q11" s="176" t="s">
        <v>1139</v>
      </c>
      <c r="R11" s="195"/>
    </row>
    <row r="12" spans="1:18" ht="12.75">
      <c r="A12" s="147" t="s">
        <v>1620</v>
      </c>
      <c r="B12" s="57">
        <v>8</v>
      </c>
      <c r="C12" s="55">
        <v>0.3527396210511196</v>
      </c>
      <c r="D12" s="55"/>
      <c r="E12" s="58" t="s">
        <v>1431</v>
      </c>
      <c r="F12" s="54"/>
      <c r="G12" s="54"/>
      <c r="H12" s="92"/>
      <c r="I12" s="92"/>
      <c r="J12" s="92"/>
      <c r="K12" s="92"/>
      <c r="L12" s="92"/>
      <c r="M12" s="92"/>
      <c r="N12" s="92"/>
      <c r="O12" s="92"/>
      <c r="P12" s="92"/>
      <c r="Q12" s="92"/>
      <c r="R12" s="92"/>
    </row>
    <row r="13" spans="1:18" ht="12.75">
      <c r="A13" s="54" t="s">
        <v>892</v>
      </c>
      <c r="B13" s="57">
        <v>26</v>
      </c>
      <c r="C13" s="55">
        <f>B13/28.349523</f>
        <v>0.917123014732911</v>
      </c>
      <c r="D13" s="55"/>
      <c r="E13" s="96" t="s">
        <v>18</v>
      </c>
      <c r="F13" s="54"/>
      <c r="G13" s="54"/>
      <c r="H13" s="139" t="s">
        <v>19</v>
      </c>
      <c r="I13" s="92"/>
      <c r="J13" s="92"/>
      <c r="K13" s="92"/>
      <c r="L13" s="92"/>
      <c r="M13" s="92"/>
      <c r="N13" s="92"/>
      <c r="O13" s="92"/>
      <c r="P13" s="92"/>
      <c r="Q13" s="92"/>
      <c r="R13" s="92"/>
    </row>
    <row r="14" spans="1:18" ht="12.75">
      <c r="A14" s="182" t="s">
        <v>1620</v>
      </c>
      <c r="B14" s="68">
        <v>40</v>
      </c>
      <c r="C14" s="69">
        <f>B14/28.349523</f>
        <v>1.4109584842044784</v>
      </c>
      <c r="D14" s="183"/>
      <c r="E14" s="187" t="s">
        <v>414</v>
      </c>
      <c r="F14" s="67"/>
      <c r="G14" s="67"/>
      <c r="H14" s="149" t="s">
        <v>9</v>
      </c>
      <c r="I14" s="92"/>
      <c r="J14" s="92"/>
      <c r="K14" s="92"/>
      <c r="L14" s="92"/>
      <c r="M14" s="92"/>
      <c r="N14" s="92"/>
      <c r="O14" s="92"/>
      <c r="P14" s="92"/>
      <c r="Q14" s="92"/>
      <c r="R14" s="92"/>
    </row>
    <row r="15" spans="1:19" ht="12.75">
      <c r="A15" s="320" t="s">
        <v>1620</v>
      </c>
      <c r="B15" s="207"/>
      <c r="C15" s="72"/>
      <c r="D15" s="208"/>
      <c r="E15" s="118" t="s">
        <v>2087</v>
      </c>
      <c r="F15" s="54"/>
      <c r="G15" s="54"/>
      <c r="H15" s="156" t="s">
        <v>2090</v>
      </c>
      <c r="I15" s="72"/>
      <c r="J15" s="72"/>
      <c r="K15" s="72"/>
      <c r="L15" s="72"/>
      <c r="M15" s="72"/>
      <c r="N15" s="73"/>
      <c r="O15" s="92"/>
      <c r="P15" s="92"/>
      <c r="Q15" s="92"/>
      <c r="R15" s="92"/>
      <c r="S15" s="92"/>
    </row>
    <row r="16" spans="1:19" ht="12.75">
      <c r="A16" s="321"/>
      <c r="B16" s="209">
        <v>124</v>
      </c>
      <c r="C16" s="94">
        <f>B16/28.349523</f>
        <v>4.373971301033883</v>
      </c>
      <c r="D16" s="210">
        <f>C16/16</f>
        <v>0.2733732063146177</v>
      </c>
      <c r="E16" s="118" t="s">
        <v>15</v>
      </c>
      <c r="F16" s="54"/>
      <c r="G16" s="54"/>
      <c r="H16" s="157" t="s">
        <v>2089</v>
      </c>
      <c r="I16" s="92"/>
      <c r="J16" s="92"/>
      <c r="K16" s="92"/>
      <c r="L16" s="92"/>
      <c r="M16" s="92"/>
      <c r="N16" s="153"/>
      <c r="O16" s="92"/>
      <c r="P16" s="92"/>
      <c r="Q16" s="92"/>
      <c r="R16" s="92"/>
      <c r="S16" s="92"/>
    </row>
    <row r="17" spans="1:19" ht="12.75">
      <c r="A17" s="322"/>
      <c r="B17" s="211"/>
      <c r="C17" s="212"/>
      <c r="D17" s="213"/>
      <c r="E17" s="118" t="s">
        <v>14</v>
      </c>
      <c r="F17" s="54"/>
      <c r="G17" s="54"/>
      <c r="H17" s="158" t="s">
        <v>2091</v>
      </c>
      <c r="I17" s="154"/>
      <c r="J17" s="154"/>
      <c r="K17" s="154"/>
      <c r="L17" s="154"/>
      <c r="M17" s="154"/>
      <c r="N17" s="155"/>
      <c r="O17" s="92"/>
      <c r="P17" s="92"/>
      <c r="Q17" s="92"/>
      <c r="R17" s="92"/>
      <c r="S17" s="92"/>
    </row>
    <row r="18" spans="1:18" ht="12.75">
      <c r="A18" s="54" t="s">
        <v>1620</v>
      </c>
      <c r="B18" s="54">
        <v>21</v>
      </c>
      <c r="C18" s="55">
        <f>B18/28.349523</f>
        <v>0.7407532042073511</v>
      </c>
      <c r="D18" s="54"/>
      <c r="E18" s="54" t="s">
        <v>11</v>
      </c>
      <c r="F18" s="54"/>
      <c r="G18" s="54"/>
      <c r="H18" s="92" t="s">
        <v>893</v>
      </c>
      <c r="I18" s="92"/>
      <c r="J18" s="92"/>
      <c r="K18" s="92"/>
      <c r="L18" s="92"/>
      <c r="M18" s="92"/>
      <c r="N18" s="92"/>
      <c r="O18" s="92"/>
      <c r="P18" s="92"/>
      <c r="Q18" s="92"/>
      <c r="R18" s="92"/>
    </row>
    <row r="19" spans="1:18" ht="12.75">
      <c r="A19" s="54" t="s">
        <v>1620</v>
      </c>
      <c r="B19" s="54">
        <v>5</v>
      </c>
      <c r="C19" s="55">
        <f>B19/28.349523</f>
        <v>0.1763698105255598</v>
      </c>
      <c r="D19" s="55"/>
      <c r="E19" s="54" t="s">
        <v>28</v>
      </c>
      <c r="F19" s="54"/>
      <c r="G19" s="54"/>
      <c r="H19" s="150" t="s">
        <v>29</v>
      </c>
      <c r="I19" s="92"/>
      <c r="J19" s="92"/>
      <c r="K19" s="92"/>
      <c r="L19" s="92"/>
      <c r="M19" s="92"/>
      <c r="N19" s="92"/>
      <c r="O19" s="92"/>
      <c r="P19" s="92"/>
      <c r="Q19" s="92"/>
      <c r="R19" s="92"/>
    </row>
    <row r="20" spans="1:18" ht="12.75">
      <c r="A20" s="54" t="s">
        <v>1620</v>
      </c>
      <c r="B20" s="54">
        <v>14</v>
      </c>
      <c r="C20" s="55">
        <f aca="true" t="shared" si="0" ref="C20:C46">B20/28.349523</f>
        <v>0.4938354694715675</v>
      </c>
      <c r="D20" s="54"/>
      <c r="E20" s="54" t="s">
        <v>1221</v>
      </c>
      <c r="F20" s="54"/>
      <c r="G20" s="54"/>
      <c r="H20" s="149" t="s">
        <v>2092</v>
      </c>
      <c r="I20" s="92"/>
      <c r="J20" s="92"/>
      <c r="K20" s="92"/>
      <c r="L20" s="92"/>
      <c r="M20" s="92"/>
      <c r="N20" s="92"/>
      <c r="O20" s="92"/>
      <c r="P20" s="92"/>
      <c r="Q20" s="92"/>
      <c r="R20" s="92"/>
    </row>
    <row r="21" spans="1:18" ht="12.75">
      <c r="A21" s="54" t="s">
        <v>1620</v>
      </c>
      <c r="B21" s="57">
        <v>20</v>
      </c>
      <c r="C21" s="55">
        <f t="shared" si="0"/>
        <v>0.7054792421022392</v>
      </c>
      <c r="D21" s="55"/>
      <c r="E21" s="54" t="s">
        <v>655</v>
      </c>
      <c r="F21" s="54"/>
      <c r="G21" s="54"/>
      <c r="H21" s="66" t="s">
        <v>1432</v>
      </c>
      <c r="I21" s="92"/>
      <c r="J21" s="92"/>
      <c r="K21" s="92"/>
      <c r="L21" s="92"/>
      <c r="M21" s="92"/>
      <c r="N21" s="92"/>
      <c r="O21" s="92"/>
      <c r="P21" s="92"/>
      <c r="Q21" s="92"/>
      <c r="R21" s="92"/>
    </row>
    <row r="22" spans="1:18" ht="12.75">
      <c r="A22" s="54" t="s">
        <v>1620</v>
      </c>
      <c r="B22" s="57">
        <v>14</v>
      </c>
      <c r="C22" s="55">
        <f t="shared" si="0"/>
        <v>0.4938354694715675</v>
      </c>
      <c r="D22" s="87"/>
      <c r="E22" s="56" t="s">
        <v>342</v>
      </c>
      <c r="F22" s="54"/>
      <c r="G22" s="54"/>
      <c r="H22" s="178" t="s">
        <v>341</v>
      </c>
      <c r="I22" s="92"/>
      <c r="J22" s="92"/>
      <c r="K22" s="92"/>
      <c r="L22" s="92"/>
      <c r="M22" s="92"/>
      <c r="N22" s="92"/>
      <c r="O22" s="92"/>
      <c r="P22" s="92"/>
      <c r="Q22" s="92"/>
      <c r="R22" s="92"/>
    </row>
    <row r="23" spans="1:18" ht="12.75">
      <c r="A23" s="54" t="s">
        <v>1620</v>
      </c>
      <c r="B23" s="57">
        <v>14</v>
      </c>
      <c r="C23" s="55">
        <f t="shared" si="0"/>
        <v>0.4938354694715675</v>
      </c>
      <c r="D23" s="87"/>
      <c r="E23" s="97" t="s">
        <v>1319</v>
      </c>
      <c r="F23" s="54"/>
      <c r="G23" s="54"/>
      <c r="H23" s="95" t="s">
        <v>1320</v>
      </c>
      <c r="I23" s="92"/>
      <c r="J23" s="92"/>
      <c r="K23" s="92"/>
      <c r="L23" s="92"/>
      <c r="M23" s="92"/>
      <c r="N23" s="92"/>
      <c r="O23" s="92"/>
      <c r="P23" s="92"/>
      <c r="Q23" s="92"/>
      <c r="R23" s="92"/>
    </row>
    <row r="24" spans="1:18" ht="12.75">
      <c r="A24" s="54" t="s">
        <v>1620</v>
      </c>
      <c r="B24" s="57">
        <f>46/4</f>
        <v>11.5</v>
      </c>
      <c r="C24" s="55">
        <f>B24/28.349523</f>
        <v>0.40565056420878753</v>
      </c>
      <c r="D24" s="55"/>
      <c r="E24" s="147" t="s">
        <v>1776</v>
      </c>
      <c r="F24" s="87"/>
      <c r="G24" s="54"/>
      <c r="H24" s="138" t="s">
        <v>1478</v>
      </c>
      <c r="I24" s="92"/>
      <c r="J24" s="94"/>
      <c r="K24" s="92"/>
      <c r="L24" s="92"/>
      <c r="M24" s="92"/>
      <c r="N24" s="92"/>
      <c r="O24" s="92"/>
      <c r="P24" s="92"/>
      <c r="Q24" s="92"/>
      <c r="R24" s="92"/>
    </row>
    <row r="25" spans="1:19" ht="12.75">
      <c r="A25" s="54" t="s">
        <v>1620</v>
      </c>
      <c r="B25" s="54">
        <v>60</v>
      </c>
      <c r="C25" s="55">
        <f>B25/28.349523</f>
        <v>2.116437726306718</v>
      </c>
      <c r="E25" s="59" t="s">
        <v>1280</v>
      </c>
      <c r="G25" s="54"/>
      <c r="H25" s="54"/>
      <c r="I25" s="92"/>
      <c r="J25" s="92"/>
      <c r="K25" s="92"/>
      <c r="L25" s="92"/>
      <c r="M25" s="92"/>
      <c r="N25" s="92"/>
      <c r="O25" s="92"/>
      <c r="P25" s="92"/>
      <c r="Q25" s="92"/>
      <c r="R25" s="92"/>
      <c r="S25" s="92"/>
    </row>
    <row r="26" spans="1:18" ht="12.75">
      <c r="A26" s="54" t="s">
        <v>1620</v>
      </c>
      <c r="B26" s="54">
        <v>21</v>
      </c>
      <c r="C26" s="55">
        <f t="shared" si="0"/>
        <v>0.7407532042073511</v>
      </c>
      <c r="D26" s="54"/>
      <c r="E26" s="54" t="s">
        <v>646</v>
      </c>
      <c r="F26" s="54"/>
      <c r="G26" s="54"/>
      <c r="H26" s="95" t="s">
        <v>245</v>
      </c>
      <c r="I26" s="92"/>
      <c r="J26" s="92"/>
      <c r="K26" s="92"/>
      <c r="L26" s="92"/>
      <c r="M26" s="92"/>
      <c r="N26" s="92"/>
      <c r="O26" s="92"/>
      <c r="P26" s="92"/>
      <c r="Q26" s="92"/>
      <c r="R26" s="92"/>
    </row>
    <row r="27" spans="1:18" ht="12.75">
      <c r="A27" s="54" t="s">
        <v>1621</v>
      </c>
      <c r="B27" s="57">
        <v>814</v>
      </c>
      <c r="C27" s="55">
        <f t="shared" si="0"/>
        <v>28.713005153561138</v>
      </c>
      <c r="D27" s="55">
        <f>C27/16</f>
        <v>1.7945628220975711</v>
      </c>
      <c r="E27" s="54" t="s">
        <v>647</v>
      </c>
      <c r="F27" s="54"/>
      <c r="G27" s="54"/>
      <c r="H27" s="92" t="s">
        <v>896</v>
      </c>
      <c r="I27" s="92"/>
      <c r="J27" s="92"/>
      <c r="K27" s="92"/>
      <c r="L27" s="92"/>
      <c r="M27" s="92"/>
      <c r="N27" s="92"/>
      <c r="O27" s="92"/>
      <c r="P27" s="92"/>
      <c r="Q27" s="92"/>
      <c r="R27" s="92"/>
    </row>
    <row r="28" spans="1:8" ht="12.75">
      <c r="A28" s="214" t="s">
        <v>1620</v>
      </c>
      <c r="B28" s="9">
        <v>403</v>
      </c>
      <c r="C28" s="2">
        <f t="shared" si="0"/>
        <v>14.21540672836012</v>
      </c>
      <c r="D28" s="2">
        <f>C28/16</f>
        <v>0.8884629205225075</v>
      </c>
      <c r="E28" t="s">
        <v>1640</v>
      </c>
      <c r="F28" s="3"/>
      <c r="H28" t="s">
        <v>1641</v>
      </c>
    </row>
    <row r="29" spans="1:18" ht="12.75">
      <c r="A29" s="182" t="s">
        <v>1620</v>
      </c>
      <c r="B29" s="9">
        <v>266</v>
      </c>
      <c r="C29" s="2">
        <f t="shared" si="0"/>
        <v>9.382873919959781</v>
      </c>
      <c r="D29" s="2">
        <f>C29/16</f>
        <v>0.5864296199974863</v>
      </c>
      <c r="E29" t="s">
        <v>1638</v>
      </c>
      <c r="F29" s="87"/>
      <c r="G29" s="54"/>
      <c r="H29" t="s">
        <v>1639</v>
      </c>
      <c r="I29" s="92"/>
      <c r="J29" s="92"/>
      <c r="K29" s="92"/>
      <c r="L29" s="92"/>
      <c r="M29" s="92"/>
      <c r="N29" s="92"/>
      <c r="O29" s="92"/>
      <c r="P29" s="92"/>
      <c r="Q29" s="92"/>
      <c r="R29" s="92"/>
    </row>
    <row r="30" spans="1:18" ht="12.75">
      <c r="A30" s="54" t="s">
        <v>1620</v>
      </c>
      <c r="B30" s="103">
        <v>159</v>
      </c>
      <c r="C30" s="55">
        <f t="shared" si="0"/>
        <v>5.608559974712802</v>
      </c>
      <c r="D30" s="55"/>
      <c r="E30" s="54" t="s">
        <v>2008</v>
      </c>
      <c r="F30" s="87"/>
      <c r="G30" s="54"/>
      <c r="H30" s="92" t="s">
        <v>416</v>
      </c>
      <c r="I30" s="92"/>
      <c r="J30" s="92"/>
      <c r="K30" s="92"/>
      <c r="L30" s="92"/>
      <c r="M30" s="92"/>
      <c r="N30" s="92"/>
      <c r="O30" s="92"/>
      <c r="P30" s="92"/>
      <c r="Q30" s="92"/>
      <c r="R30" s="92"/>
    </row>
    <row r="31" spans="1:18" ht="12.75">
      <c r="A31" s="172" t="s">
        <v>1620</v>
      </c>
      <c r="B31" s="54">
        <v>37</v>
      </c>
      <c r="C31" s="55">
        <f t="shared" si="0"/>
        <v>1.3051365978891425</v>
      </c>
      <c r="D31" s="55"/>
      <c r="E31" s="54" t="s">
        <v>222</v>
      </c>
      <c r="F31" s="54"/>
      <c r="G31" s="54"/>
      <c r="H31" s="139" t="s">
        <v>1635</v>
      </c>
      <c r="I31" s="92"/>
      <c r="J31" s="92"/>
      <c r="K31" s="92"/>
      <c r="L31" s="92"/>
      <c r="M31" s="92"/>
      <c r="N31" s="92"/>
      <c r="O31" s="92"/>
      <c r="P31" s="92"/>
      <c r="Q31" s="92"/>
      <c r="R31" s="92"/>
    </row>
    <row r="32" spans="1:18" ht="12.75">
      <c r="A32" s="54" t="s">
        <v>1620</v>
      </c>
      <c r="B32" s="16">
        <v>44</v>
      </c>
      <c r="C32" s="2">
        <f t="shared" si="0"/>
        <v>1.5520543326249263</v>
      </c>
      <c r="D32" s="2"/>
      <c r="E32" s="6" t="s">
        <v>1634</v>
      </c>
      <c r="F32" s="54"/>
      <c r="G32" s="54"/>
      <c r="H32" s="139" t="s">
        <v>1635</v>
      </c>
      <c r="I32" s="92"/>
      <c r="J32" s="92"/>
      <c r="K32" s="92"/>
      <c r="L32" s="92"/>
      <c r="M32" s="92"/>
      <c r="N32" s="92"/>
      <c r="O32" s="92"/>
      <c r="P32" s="92"/>
      <c r="Q32" s="92"/>
      <c r="R32" s="92"/>
    </row>
    <row r="33" spans="1:18" ht="12.75">
      <c r="A33" s="147" t="s">
        <v>1620</v>
      </c>
      <c r="B33" s="57">
        <v>60</v>
      </c>
      <c r="C33" s="55">
        <f t="shared" si="0"/>
        <v>2.116437726306718</v>
      </c>
      <c r="D33" s="55"/>
      <c r="E33" s="56" t="s">
        <v>23</v>
      </c>
      <c r="F33" s="54"/>
      <c r="G33" s="54"/>
      <c r="H33" s="92"/>
      <c r="I33" s="92"/>
      <c r="J33" s="92"/>
      <c r="K33" s="93"/>
      <c r="L33" s="92"/>
      <c r="M33" s="92"/>
      <c r="N33" s="92"/>
      <c r="O33" s="92"/>
      <c r="P33" s="92"/>
      <c r="Q33" s="92"/>
      <c r="R33" s="92"/>
    </row>
    <row r="34" spans="1:18" ht="12.75">
      <c r="A34" s="147" t="s">
        <v>1620</v>
      </c>
      <c r="B34" s="147">
        <v>24</v>
      </c>
      <c r="C34" s="55">
        <f t="shared" si="0"/>
        <v>0.8465750905226871</v>
      </c>
      <c r="D34" s="160"/>
      <c r="E34" s="97" t="s">
        <v>321</v>
      </c>
      <c r="F34" s="54"/>
      <c r="G34" s="54"/>
      <c r="H34" s="92" t="s">
        <v>21</v>
      </c>
      <c r="I34" s="92"/>
      <c r="J34" s="92"/>
      <c r="K34" s="92"/>
      <c r="L34" s="92"/>
      <c r="M34" s="92"/>
      <c r="N34" s="92"/>
      <c r="O34" s="92"/>
      <c r="P34" s="92"/>
      <c r="Q34" s="92"/>
      <c r="R34" s="92"/>
    </row>
    <row r="35" spans="1:18" ht="12.75">
      <c r="A35" s="54" t="s">
        <v>1620</v>
      </c>
      <c r="B35" s="54">
        <v>36</v>
      </c>
      <c r="C35" s="55">
        <f t="shared" si="0"/>
        <v>1.2698626357840306</v>
      </c>
      <c r="D35" s="55"/>
      <c r="E35" s="147" t="s">
        <v>322</v>
      </c>
      <c r="F35" s="54"/>
      <c r="G35" s="54"/>
      <c r="H35" s="150" t="s">
        <v>2018</v>
      </c>
      <c r="I35" s="92"/>
      <c r="J35" s="92"/>
      <c r="K35" s="92"/>
      <c r="L35" s="92"/>
      <c r="M35" s="92"/>
      <c r="N35" s="92"/>
      <c r="O35" s="92"/>
      <c r="P35" s="92"/>
      <c r="Q35" s="92"/>
      <c r="R35" s="92"/>
    </row>
    <row r="36" spans="1:18" ht="12.75">
      <c r="A36" s="147" t="s">
        <v>1620</v>
      </c>
      <c r="B36" s="61">
        <v>277</v>
      </c>
      <c r="C36" s="55">
        <f t="shared" si="0"/>
        <v>9.770887503116013</v>
      </c>
      <c r="D36" s="55">
        <f>C36/16</f>
        <v>0.6106804689447508</v>
      </c>
      <c r="E36" s="96" t="s">
        <v>2019</v>
      </c>
      <c r="F36" s="87"/>
      <c r="G36" s="54"/>
      <c r="H36" s="139" t="s">
        <v>2020</v>
      </c>
      <c r="I36" s="92"/>
      <c r="J36" s="92"/>
      <c r="K36" s="92"/>
      <c r="L36" s="92"/>
      <c r="M36" s="92"/>
      <c r="N36" s="92"/>
      <c r="O36" s="92"/>
      <c r="P36" s="92"/>
      <c r="Q36" s="92"/>
      <c r="R36" s="92"/>
    </row>
    <row r="37" spans="1:18" ht="12.75">
      <c r="A37" s="54" t="s">
        <v>1621</v>
      </c>
      <c r="B37" s="9">
        <v>163</v>
      </c>
      <c r="C37" s="2">
        <f t="shared" si="0"/>
        <v>5.749655823133249</v>
      </c>
      <c r="D37" s="2">
        <f>C37/16</f>
        <v>0.3593534889458281</v>
      </c>
      <c r="E37" s="4" t="s">
        <v>1636</v>
      </c>
      <c r="F37" s="54"/>
      <c r="G37" s="54"/>
      <c r="H37" s="92"/>
      <c r="I37" s="92"/>
      <c r="J37" s="92"/>
      <c r="K37" s="92"/>
      <c r="L37" s="92"/>
      <c r="M37" s="92"/>
      <c r="N37" s="92"/>
      <c r="O37" s="94"/>
      <c r="P37" s="92"/>
      <c r="Q37" s="92"/>
      <c r="R37" s="92"/>
    </row>
    <row r="38" spans="1:18" ht="12.75">
      <c r="A38" s="54" t="s">
        <v>1620</v>
      </c>
      <c r="B38" s="57">
        <v>57</v>
      </c>
      <c r="C38" s="55">
        <f t="shared" si="0"/>
        <v>2.010615839991382</v>
      </c>
      <c r="D38" s="55"/>
      <c r="E38" s="58" t="s">
        <v>1315</v>
      </c>
      <c r="F38" s="54"/>
      <c r="G38" s="54"/>
      <c r="H38" s="126" t="s">
        <v>2093</v>
      </c>
      <c r="I38" s="92"/>
      <c r="J38" s="92"/>
      <c r="K38" s="92"/>
      <c r="L38" s="92"/>
      <c r="M38" s="92"/>
      <c r="N38" s="92"/>
      <c r="O38" s="92"/>
      <c r="P38" s="92"/>
      <c r="Q38" s="92"/>
      <c r="R38" s="92"/>
    </row>
    <row r="39" spans="1:18" ht="12.75">
      <c r="A39" s="54" t="s">
        <v>1620</v>
      </c>
      <c r="B39" s="57">
        <v>44</v>
      </c>
      <c r="C39" s="55">
        <f t="shared" si="0"/>
        <v>1.5520543326249263</v>
      </c>
      <c r="D39" s="55"/>
      <c r="E39" s="54" t="s">
        <v>899</v>
      </c>
      <c r="F39" s="87"/>
      <c r="G39" s="54"/>
      <c r="H39" s="92" t="s">
        <v>394</v>
      </c>
      <c r="I39" s="92"/>
      <c r="J39" s="92"/>
      <c r="K39" s="92"/>
      <c r="L39" s="92"/>
      <c r="M39" s="94"/>
      <c r="N39" s="92"/>
      <c r="O39" s="134"/>
      <c r="P39" s="92"/>
      <c r="Q39" s="92"/>
      <c r="R39" s="92"/>
    </row>
    <row r="40" spans="1:8" ht="12.75">
      <c r="A40" s="214" t="s">
        <v>892</v>
      </c>
      <c r="B40" s="9">
        <v>741</v>
      </c>
      <c r="C40" s="2">
        <f>B40/28.349523</f>
        <v>26.138005919887963</v>
      </c>
      <c r="D40" s="2">
        <f>C40/16</f>
        <v>1.6336253699929977</v>
      </c>
      <c r="E40" s="206" t="s">
        <v>377</v>
      </c>
      <c r="H40" s="12" t="s">
        <v>376</v>
      </c>
    </row>
    <row r="41" spans="1:18" ht="12.75">
      <c r="A41" s="54" t="s">
        <v>1621</v>
      </c>
      <c r="B41" s="61">
        <v>362</v>
      </c>
      <c r="C41" s="55">
        <f t="shared" si="0"/>
        <v>12.76917428205053</v>
      </c>
      <c r="D41" s="55">
        <f>C41/16</f>
        <v>0.7980733926281581</v>
      </c>
      <c r="E41" s="148" t="s">
        <v>1831</v>
      </c>
      <c r="F41" s="54"/>
      <c r="G41" s="54"/>
      <c r="H41" s="139" t="s">
        <v>997</v>
      </c>
      <c r="I41" s="92"/>
      <c r="J41" s="92"/>
      <c r="K41" s="92"/>
      <c r="L41" s="92"/>
      <c r="M41" s="92"/>
      <c r="N41" s="92"/>
      <c r="O41" s="92"/>
      <c r="P41" s="92"/>
      <c r="Q41" s="92"/>
      <c r="R41" s="92"/>
    </row>
    <row r="42" spans="1:18" ht="12.75">
      <c r="A42" s="54" t="s">
        <v>892</v>
      </c>
      <c r="B42" s="54">
        <v>44</v>
      </c>
      <c r="C42" s="55">
        <f>B42/28.349523</f>
        <v>1.5520543326249263</v>
      </c>
      <c r="D42" s="54"/>
      <c r="E42" s="54" t="s">
        <v>1767</v>
      </c>
      <c r="F42" s="54"/>
      <c r="G42" s="54"/>
      <c r="H42" s="92" t="s">
        <v>1768</v>
      </c>
      <c r="I42" s="92"/>
      <c r="J42" s="92"/>
      <c r="K42" s="92"/>
      <c r="L42" s="92"/>
      <c r="M42" s="92"/>
      <c r="N42" s="92"/>
      <c r="O42" s="92"/>
      <c r="P42" s="92"/>
      <c r="Q42" s="92"/>
      <c r="R42" s="92"/>
    </row>
    <row r="43" spans="1:18" ht="12.75">
      <c r="A43" s="54" t="s">
        <v>892</v>
      </c>
      <c r="B43" s="57">
        <v>102</v>
      </c>
      <c r="C43" s="55">
        <f t="shared" si="0"/>
        <v>3.59794413472142</v>
      </c>
      <c r="D43" s="55"/>
      <c r="E43" s="54" t="s">
        <v>1682</v>
      </c>
      <c r="F43" s="87"/>
      <c r="G43" s="54"/>
      <c r="H43" s="92" t="s">
        <v>993</v>
      </c>
      <c r="I43" s="92"/>
      <c r="J43" s="92"/>
      <c r="K43" s="92"/>
      <c r="L43" s="92"/>
      <c r="M43" s="94"/>
      <c r="N43" s="92"/>
      <c r="O43" s="134"/>
      <c r="P43" s="92"/>
      <c r="Q43" s="92"/>
      <c r="R43" s="92"/>
    </row>
    <row r="44" spans="1:18" ht="13.5" thickBot="1">
      <c r="A44" s="67" t="s">
        <v>918</v>
      </c>
      <c r="B44" s="57">
        <f>SUM(B3:B43)</f>
        <v>5633.5</v>
      </c>
      <c r="C44" s="57">
        <f t="shared" si="0"/>
        <v>198.71586551914822</v>
      </c>
      <c r="D44" s="55">
        <f>C44/16</f>
        <v>12.419741594946764</v>
      </c>
      <c r="E44" s="54" t="s">
        <v>435</v>
      </c>
      <c r="F44" s="87"/>
      <c r="G44" s="54"/>
      <c r="H44" s="92"/>
      <c r="I44" s="92"/>
      <c r="J44" s="92"/>
      <c r="K44" s="92"/>
      <c r="L44" s="92"/>
      <c r="M44" s="94"/>
      <c r="N44" s="92"/>
      <c r="O44" s="134"/>
      <c r="P44" s="92"/>
      <c r="Q44" s="92"/>
      <c r="R44" s="92"/>
    </row>
    <row r="45" spans="1:18" ht="13.5" thickBot="1">
      <c r="A45" s="159" t="s">
        <v>51</v>
      </c>
      <c r="B45" s="103">
        <f>'Kaweah Food'!B30</f>
        <v>3481.184736</v>
      </c>
      <c r="C45" s="57">
        <f t="shared" si="0"/>
        <v>122.7951784585582</v>
      </c>
      <c r="D45" s="55">
        <f>C45/16</f>
        <v>7.674698653659887</v>
      </c>
      <c r="E45" s="180" t="s">
        <v>1193</v>
      </c>
      <c r="F45" s="87"/>
      <c r="G45" s="54"/>
      <c r="H45" s="92"/>
      <c r="I45" s="92"/>
      <c r="J45" s="92"/>
      <c r="K45" s="92"/>
      <c r="L45" s="92"/>
      <c r="M45" s="94"/>
      <c r="N45" s="92"/>
      <c r="O45" s="134"/>
      <c r="P45" s="92"/>
      <c r="Q45" s="92"/>
      <c r="R45" s="92"/>
    </row>
    <row r="46" spans="1:18" ht="12.75">
      <c r="A46" s="172" t="s">
        <v>918</v>
      </c>
      <c r="B46" s="57">
        <f>B44+B45</f>
        <v>9114.684736</v>
      </c>
      <c r="C46" s="57">
        <f t="shared" si="0"/>
        <v>321.5110439777064</v>
      </c>
      <c r="D46" s="55">
        <f>C46/16</f>
        <v>20.09444024860665</v>
      </c>
      <c r="E46" s="180" t="s">
        <v>440</v>
      </c>
      <c r="F46" s="87"/>
      <c r="G46" s="54"/>
      <c r="H46" s="92"/>
      <c r="I46" s="92"/>
      <c r="J46" s="92"/>
      <c r="K46" s="92"/>
      <c r="L46" s="92"/>
      <c r="M46" s="94"/>
      <c r="N46" s="92"/>
      <c r="O46" s="134"/>
      <c r="P46" s="92"/>
      <c r="Q46" s="92"/>
      <c r="R46" s="92"/>
    </row>
    <row r="47" spans="1:18" ht="12.75">
      <c r="A47" s="54" t="s">
        <v>918</v>
      </c>
      <c r="B47" s="57"/>
      <c r="C47" s="55"/>
      <c r="D47" s="55">
        <f>D46-('Koip Food'!D16)</f>
        <v>17.911863843352847</v>
      </c>
      <c r="E47" s="54" t="s">
        <v>438</v>
      </c>
      <c r="F47" s="87"/>
      <c r="G47" s="54"/>
      <c r="H47" s="92"/>
      <c r="I47" s="92"/>
      <c r="J47" s="92"/>
      <c r="K47" s="92"/>
      <c r="L47" s="92"/>
      <c r="M47" s="94"/>
      <c r="N47" s="92"/>
      <c r="O47" s="134"/>
      <c r="P47" s="92"/>
      <c r="Q47" s="92"/>
      <c r="R47" s="92"/>
    </row>
    <row r="48" spans="1:18" ht="12.75">
      <c r="A48" s="54" t="s">
        <v>2009</v>
      </c>
      <c r="B48" s="54">
        <v>15</v>
      </c>
      <c r="C48" s="55">
        <f>B48/28.349523</f>
        <v>0.5291094315766794</v>
      </c>
      <c r="D48" s="54"/>
      <c r="E48" s="54" t="s">
        <v>10</v>
      </c>
      <c r="F48" s="54"/>
      <c r="G48" s="54"/>
      <c r="H48" s="92" t="s">
        <v>12</v>
      </c>
      <c r="I48" s="92"/>
      <c r="J48" s="92"/>
      <c r="K48" s="92"/>
      <c r="L48" s="92"/>
      <c r="M48" s="92"/>
      <c r="N48" s="92"/>
      <c r="O48" s="92"/>
      <c r="P48" s="92"/>
      <c r="Q48" s="92"/>
      <c r="R48" s="92"/>
    </row>
    <row r="49" spans="1:18" ht="12.75">
      <c r="A49" s="172" t="s">
        <v>2009</v>
      </c>
      <c r="B49" s="54"/>
      <c r="C49" s="54"/>
      <c r="D49" s="54"/>
      <c r="E49" s="54" t="s">
        <v>900</v>
      </c>
      <c r="F49" s="54"/>
      <c r="G49" s="54"/>
      <c r="H49" s="92" t="s">
        <v>901</v>
      </c>
      <c r="I49" s="92"/>
      <c r="J49" s="92"/>
      <c r="K49" s="92"/>
      <c r="L49" s="92"/>
      <c r="M49" s="92"/>
      <c r="N49" s="92"/>
      <c r="O49" s="92"/>
      <c r="P49" s="92"/>
      <c r="Q49" s="92"/>
      <c r="R49" s="92"/>
    </row>
    <row r="50" spans="1:18" ht="12.75">
      <c r="A50" s="54" t="s">
        <v>2009</v>
      </c>
      <c r="B50" s="54">
        <v>29</v>
      </c>
      <c r="C50" s="55">
        <f aca="true" t="shared" si="1" ref="C50:C66">B50/28.349523</f>
        <v>1.0229449010482468</v>
      </c>
      <c r="D50" s="54"/>
      <c r="E50" s="54" t="s">
        <v>657</v>
      </c>
      <c r="F50" s="54"/>
      <c r="G50" s="54"/>
      <c r="H50" s="66" t="s">
        <v>1619</v>
      </c>
      <c r="I50" s="92"/>
      <c r="J50" s="92"/>
      <c r="K50" s="92"/>
      <c r="L50" s="92"/>
      <c r="M50" s="92"/>
      <c r="N50" s="92"/>
      <c r="O50" s="92"/>
      <c r="P50" s="92"/>
      <c r="Q50" s="92"/>
      <c r="R50" s="92"/>
    </row>
    <row r="51" spans="1:18" ht="12.75">
      <c r="A51" s="54" t="s">
        <v>2009</v>
      </c>
      <c r="B51" s="57">
        <v>135</v>
      </c>
      <c r="C51" s="55">
        <f>B51/28.349523</f>
        <v>4.761984884190115</v>
      </c>
      <c r="D51" s="55">
        <f>C51/16</f>
        <v>0.2976240552618822</v>
      </c>
      <c r="E51" s="97" t="s">
        <v>399</v>
      </c>
      <c r="F51" s="54"/>
      <c r="G51" s="54"/>
      <c r="H51" s="95" t="s">
        <v>7</v>
      </c>
      <c r="I51" s="92"/>
      <c r="J51" s="92"/>
      <c r="K51" s="92"/>
      <c r="L51" s="92"/>
      <c r="M51" s="92"/>
      <c r="N51" s="92"/>
      <c r="O51" s="92"/>
      <c r="P51" s="92"/>
      <c r="Q51" s="92"/>
      <c r="R51" s="92"/>
    </row>
    <row r="52" spans="1:19" ht="12.75">
      <c r="A52" s="147" t="s">
        <v>2009</v>
      </c>
      <c r="B52" s="57">
        <v>47</v>
      </c>
      <c r="C52" s="55">
        <f t="shared" si="1"/>
        <v>1.6578762189402623</v>
      </c>
      <c r="D52" s="55">
        <f>C52/16</f>
        <v>0.10361726368376639</v>
      </c>
      <c r="E52" s="118" t="s">
        <v>916</v>
      </c>
      <c r="F52" s="54"/>
      <c r="G52" s="54"/>
      <c r="H52" s="149" t="s">
        <v>915</v>
      </c>
      <c r="I52" s="92"/>
      <c r="J52" s="92"/>
      <c r="K52" s="92"/>
      <c r="L52" s="92"/>
      <c r="M52" s="92"/>
      <c r="N52" s="92"/>
      <c r="O52" s="92"/>
      <c r="P52" s="92"/>
      <c r="Q52" s="92"/>
      <c r="R52" s="92"/>
      <c r="S52" s="92"/>
    </row>
    <row r="53" spans="1:19" ht="12.75">
      <c r="A53" s="147" t="s">
        <v>2009</v>
      </c>
      <c r="B53" s="57">
        <v>215</v>
      </c>
      <c r="C53" s="55">
        <f t="shared" si="1"/>
        <v>7.583901852599071</v>
      </c>
      <c r="D53" s="55">
        <f>C53/16</f>
        <v>0.47399386578744196</v>
      </c>
      <c r="E53" s="118" t="s">
        <v>914</v>
      </c>
      <c r="F53" s="54"/>
      <c r="G53" s="54"/>
      <c r="H53" s="149" t="s">
        <v>917</v>
      </c>
      <c r="I53" s="92"/>
      <c r="J53" s="92"/>
      <c r="K53" s="92"/>
      <c r="L53" s="92"/>
      <c r="M53" s="92"/>
      <c r="N53" s="92"/>
      <c r="O53" s="92"/>
      <c r="P53" s="92"/>
      <c r="Q53" s="92"/>
      <c r="R53" s="92"/>
      <c r="S53" s="92"/>
    </row>
    <row r="54" spans="1:18" ht="12.75">
      <c r="A54" s="54" t="s">
        <v>2009</v>
      </c>
      <c r="B54" s="57">
        <v>324</v>
      </c>
      <c r="C54" s="55">
        <f t="shared" si="1"/>
        <v>11.428763722056276</v>
      </c>
      <c r="D54" s="55">
        <f>C54/16</f>
        <v>0.7142977326285173</v>
      </c>
      <c r="E54" s="54" t="s">
        <v>2014</v>
      </c>
      <c r="F54" s="87"/>
      <c r="G54" s="54"/>
      <c r="H54" s="92" t="s">
        <v>2015</v>
      </c>
      <c r="I54" s="92"/>
      <c r="J54" s="92"/>
      <c r="K54" s="92"/>
      <c r="L54" s="92"/>
      <c r="M54" s="92"/>
      <c r="N54" s="92"/>
      <c r="O54" s="92"/>
      <c r="P54" s="92"/>
      <c r="Q54" s="92"/>
      <c r="R54" s="92"/>
    </row>
    <row r="55" spans="1:18" ht="12.75">
      <c r="A55" s="54" t="s">
        <v>2009</v>
      </c>
      <c r="B55" s="54">
        <v>107</v>
      </c>
      <c r="C55" s="55">
        <f t="shared" si="1"/>
        <v>3.7743139452469796</v>
      </c>
      <c r="D55" s="55"/>
      <c r="E55" s="54" t="s">
        <v>658</v>
      </c>
      <c r="F55" s="54"/>
      <c r="G55" s="54"/>
      <c r="H55" s="66" t="s">
        <v>785</v>
      </c>
      <c r="I55" s="92"/>
      <c r="J55" s="92"/>
      <c r="K55" s="92"/>
      <c r="L55" s="92"/>
      <c r="M55" s="92"/>
      <c r="N55" s="92"/>
      <c r="O55" s="92"/>
      <c r="P55" s="92"/>
      <c r="Q55" s="92"/>
      <c r="R55" s="92"/>
    </row>
    <row r="56" spans="1:18" ht="12.75">
      <c r="A56" s="54" t="s">
        <v>2009</v>
      </c>
      <c r="B56" s="54">
        <v>50</v>
      </c>
      <c r="C56" s="55">
        <f t="shared" si="1"/>
        <v>1.763698105255598</v>
      </c>
      <c r="D56" s="54"/>
      <c r="E56" s="54" t="s">
        <v>137</v>
      </c>
      <c r="F56" s="54"/>
      <c r="G56" s="54"/>
      <c r="H56" s="66" t="s">
        <v>786</v>
      </c>
      <c r="I56" s="92"/>
      <c r="J56" s="92"/>
      <c r="K56" s="92"/>
      <c r="L56" s="92"/>
      <c r="M56" s="92"/>
      <c r="N56" s="92"/>
      <c r="O56" s="92"/>
      <c r="P56" s="92"/>
      <c r="Q56" s="92"/>
      <c r="R56" s="92"/>
    </row>
    <row r="57" spans="1:18" ht="12.75">
      <c r="A57" s="54" t="s">
        <v>2009</v>
      </c>
      <c r="B57" s="54">
        <v>85</v>
      </c>
      <c r="C57" s="55">
        <f>B57/28.349523</f>
        <v>2.9982867789345167</v>
      </c>
      <c r="D57" s="55"/>
      <c r="E57" s="54" t="s">
        <v>2011</v>
      </c>
      <c r="F57" s="54"/>
      <c r="G57" s="54"/>
      <c r="H57" s="66" t="s">
        <v>2012</v>
      </c>
      <c r="I57" s="92"/>
      <c r="J57" s="92"/>
      <c r="K57" s="92"/>
      <c r="L57" s="92"/>
      <c r="M57" s="92"/>
      <c r="N57" s="92"/>
      <c r="O57" s="92"/>
      <c r="P57" s="92"/>
      <c r="Q57" s="92"/>
      <c r="R57" s="92"/>
    </row>
    <row r="58" spans="1:18" ht="12.75">
      <c r="A58" s="54" t="s">
        <v>2009</v>
      </c>
      <c r="B58" s="54">
        <v>177</v>
      </c>
      <c r="C58" s="55">
        <f t="shared" si="1"/>
        <v>6.243491292604817</v>
      </c>
      <c r="D58" s="55">
        <f>C58/16</f>
        <v>0.3902182057878011</v>
      </c>
      <c r="E58" s="54" t="s">
        <v>2010</v>
      </c>
      <c r="F58" s="54"/>
      <c r="G58" s="54"/>
      <c r="H58" s="92" t="s">
        <v>2013</v>
      </c>
      <c r="I58" s="92"/>
      <c r="J58" s="92"/>
      <c r="K58" s="92"/>
      <c r="L58" s="92"/>
      <c r="M58" s="92"/>
      <c r="N58" s="92"/>
      <c r="O58" s="92"/>
      <c r="P58" s="92"/>
      <c r="Q58" s="92"/>
      <c r="R58" s="92"/>
    </row>
    <row r="59" spans="1:18" ht="12.75">
      <c r="A59" s="54" t="s">
        <v>2009</v>
      </c>
      <c r="B59" s="54">
        <v>35</v>
      </c>
      <c r="C59" s="55">
        <f t="shared" si="1"/>
        <v>1.2345886736789187</v>
      </c>
      <c r="D59" s="55"/>
      <c r="E59" s="147" t="s">
        <v>322</v>
      </c>
      <c r="F59" s="54"/>
      <c r="G59" s="54"/>
      <c r="H59" s="150" t="s">
        <v>2018</v>
      </c>
      <c r="I59" s="92"/>
      <c r="J59" s="92"/>
      <c r="K59" s="92"/>
      <c r="L59" s="92"/>
      <c r="M59" s="92"/>
      <c r="N59" s="92"/>
      <c r="O59" s="92"/>
      <c r="P59" s="92"/>
      <c r="Q59" s="92"/>
      <c r="R59" s="92"/>
    </row>
    <row r="60" spans="1:18" ht="12.75">
      <c r="A60" s="147" t="s">
        <v>2009</v>
      </c>
      <c r="B60" s="57">
        <v>40</v>
      </c>
      <c r="C60" s="55">
        <f t="shared" si="1"/>
        <v>1.4109584842044784</v>
      </c>
      <c r="D60" s="55"/>
      <c r="E60" s="56" t="s">
        <v>1172</v>
      </c>
      <c r="F60" s="54"/>
      <c r="G60" s="54"/>
      <c r="H60" s="150" t="s">
        <v>22</v>
      </c>
      <c r="I60" s="92"/>
      <c r="J60" s="92"/>
      <c r="K60" s="92"/>
      <c r="L60" s="92"/>
      <c r="M60" s="92"/>
      <c r="N60" s="92"/>
      <c r="O60" s="92"/>
      <c r="P60" s="92"/>
      <c r="Q60" s="92"/>
      <c r="R60" s="92"/>
    </row>
    <row r="61" spans="1:18" ht="12.75">
      <c r="A61" s="147" t="s">
        <v>2009</v>
      </c>
      <c r="B61" s="147">
        <v>23</v>
      </c>
      <c r="C61" s="55">
        <f t="shared" si="1"/>
        <v>0.8113011284175751</v>
      </c>
      <c r="D61" s="160"/>
      <c r="E61" s="97" t="s">
        <v>321</v>
      </c>
      <c r="F61" s="54"/>
      <c r="G61" s="54"/>
      <c r="H61" s="92" t="s">
        <v>21</v>
      </c>
      <c r="I61" s="92"/>
      <c r="J61" s="92"/>
      <c r="K61" s="92"/>
      <c r="L61" s="92"/>
      <c r="M61" s="92"/>
      <c r="N61" s="92"/>
      <c r="O61" s="92"/>
      <c r="P61" s="92"/>
      <c r="Q61" s="92"/>
      <c r="R61" s="92"/>
    </row>
    <row r="62" spans="1:18" ht="12.75">
      <c r="A62" s="147" t="s">
        <v>2009</v>
      </c>
      <c r="B62" s="57">
        <v>60</v>
      </c>
      <c r="C62" s="55">
        <f t="shared" si="1"/>
        <v>2.116437726306718</v>
      </c>
      <c r="D62" s="55"/>
      <c r="E62" s="56" t="s">
        <v>24</v>
      </c>
      <c r="F62" s="54"/>
      <c r="G62" s="54"/>
      <c r="H62" s="92"/>
      <c r="I62" s="92"/>
      <c r="J62" s="92"/>
      <c r="K62" s="92"/>
      <c r="L62" s="92"/>
      <c r="M62" s="92"/>
      <c r="N62" s="92"/>
      <c r="O62" s="92"/>
      <c r="P62" s="92"/>
      <c r="Q62" s="92"/>
      <c r="R62" s="92"/>
    </row>
    <row r="63" spans="1:18" ht="13.5" thickBot="1">
      <c r="A63" s="67" t="s">
        <v>1621</v>
      </c>
      <c r="B63" s="57">
        <v>1455</v>
      </c>
      <c r="C63" s="55">
        <f t="shared" si="1"/>
        <v>51.3236148629379</v>
      </c>
      <c r="D63" s="55">
        <f>C63/16</f>
        <v>3.207725928933619</v>
      </c>
      <c r="E63" s="56" t="s">
        <v>25</v>
      </c>
      <c r="F63" s="54"/>
      <c r="G63" s="54"/>
      <c r="H63" s="92"/>
      <c r="I63" s="92"/>
      <c r="J63" s="92"/>
      <c r="K63" s="92"/>
      <c r="L63" s="92"/>
      <c r="M63" s="92"/>
      <c r="N63" s="92"/>
      <c r="O63" s="92"/>
      <c r="P63" s="92"/>
      <c r="Q63" s="92"/>
      <c r="R63" s="92"/>
    </row>
    <row r="64" spans="1:18" ht="13.5" thickBot="1">
      <c r="A64" s="159"/>
      <c r="B64" s="103">
        <v>57</v>
      </c>
      <c r="C64" s="55">
        <f t="shared" si="1"/>
        <v>2.010615839991382</v>
      </c>
      <c r="D64" s="55"/>
      <c r="E64" s="54" t="s">
        <v>1194</v>
      </c>
      <c r="F64" s="87"/>
      <c r="G64" s="54"/>
      <c r="H64" s="92" t="s">
        <v>439</v>
      </c>
      <c r="I64" s="92"/>
      <c r="J64" s="92"/>
      <c r="K64" s="92"/>
      <c r="L64" s="92"/>
      <c r="M64" s="92"/>
      <c r="N64" s="92"/>
      <c r="O64" s="92"/>
      <c r="P64" s="92"/>
      <c r="Q64" s="92"/>
      <c r="R64" s="92"/>
    </row>
    <row r="65" spans="1:18" ht="12.75">
      <c r="A65" s="184" t="s">
        <v>52</v>
      </c>
      <c r="B65" s="57">
        <f>SUM(B50:B64)</f>
        <v>2839</v>
      </c>
      <c r="C65" s="115">
        <f t="shared" si="1"/>
        <v>100.14277841641285</v>
      </c>
      <c r="D65" s="55">
        <f>C65/16</f>
        <v>6.258923651025803</v>
      </c>
      <c r="E65" s="56" t="s">
        <v>1509</v>
      </c>
      <c r="F65" s="54"/>
      <c r="G65" s="54"/>
      <c r="H65" s="92"/>
      <c r="I65" s="92"/>
      <c r="J65" s="92"/>
      <c r="K65" s="92"/>
      <c r="L65" s="92"/>
      <c r="M65" s="92"/>
      <c r="N65" s="92"/>
      <c r="O65" s="92"/>
      <c r="P65" s="92"/>
      <c r="Q65" s="92"/>
      <c r="R65" s="92"/>
    </row>
    <row r="66" spans="1:18" ht="12.75">
      <c r="A66" s="147" t="s">
        <v>52</v>
      </c>
      <c r="B66" s="57">
        <f>B46+B65</f>
        <v>11953.684736</v>
      </c>
      <c r="C66" s="181">
        <f t="shared" si="1"/>
        <v>421.65382239411923</v>
      </c>
      <c r="D66" s="55">
        <f>C66/16</f>
        <v>26.353363899632452</v>
      </c>
      <c r="E66" s="58" t="s">
        <v>2086</v>
      </c>
      <c r="F66" s="54"/>
      <c r="G66" s="132"/>
      <c r="H66" s="92"/>
      <c r="I66" s="92"/>
      <c r="J66" s="92"/>
      <c r="K66" s="92"/>
      <c r="L66" s="92"/>
      <c r="M66" s="92"/>
      <c r="N66" s="92"/>
      <c r="O66" s="92"/>
      <c r="P66" s="92"/>
      <c r="Q66" s="92"/>
      <c r="R66" s="92"/>
    </row>
    <row r="67" spans="1:18" ht="12.75">
      <c r="A67" s="114"/>
      <c r="B67" s="54"/>
      <c r="C67" s="55" t="s">
        <v>36</v>
      </c>
      <c r="D67" s="54"/>
      <c r="E67" s="54"/>
      <c r="F67" s="54"/>
      <c r="G67" s="132"/>
      <c r="H67" s="92"/>
      <c r="I67" s="92"/>
      <c r="J67" s="92"/>
      <c r="K67" s="92"/>
      <c r="L67" s="92"/>
      <c r="M67" s="92"/>
      <c r="N67" s="92"/>
      <c r="O67" s="92"/>
      <c r="P67" s="92"/>
      <c r="Q67" s="92"/>
      <c r="R67" s="92"/>
    </row>
    <row r="68" spans="1:18" ht="12.75">
      <c r="A68" s="114" t="s">
        <v>265</v>
      </c>
      <c r="B68" s="54"/>
      <c r="C68" s="55" t="s">
        <v>1622</v>
      </c>
      <c r="D68" s="54"/>
      <c r="E68" s="54"/>
      <c r="F68" s="54"/>
      <c r="G68" s="54"/>
      <c r="H68" s="92"/>
      <c r="I68" s="92"/>
      <c r="J68" s="92"/>
      <c r="K68" s="92"/>
      <c r="L68" s="92"/>
      <c r="M68" s="92"/>
      <c r="N68" s="92"/>
      <c r="O68" s="92"/>
      <c r="P68" s="92"/>
      <c r="Q68" s="92"/>
      <c r="R68" s="92"/>
    </row>
    <row r="69" spans="1:18" ht="12.75">
      <c r="A69" s="114" t="s">
        <v>265</v>
      </c>
      <c r="B69" s="54"/>
      <c r="C69" s="55" t="s">
        <v>1623</v>
      </c>
      <c r="D69" s="54"/>
      <c r="E69" s="54"/>
      <c r="F69" s="54"/>
      <c r="G69" s="54"/>
      <c r="H69" s="92"/>
      <c r="I69" s="92"/>
      <c r="J69" s="92"/>
      <c r="K69" s="92"/>
      <c r="L69" s="92"/>
      <c r="M69" s="92"/>
      <c r="N69" s="92"/>
      <c r="O69" s="92"/>
      <c r="P69" s="92"/>
      <c r="Q69" s="92"/>
      <c r="R69" s="92"/>
    </row>
    <row r="70" spans="1:18" ht="12.75">
      <c r="A70" s="114"/>
      <c r="B70" s="57"/>
      <c r="C70" s="55" t="s">
        <v>919</v>
      </c>
      <c r="D70" s="55"/>
      <c r="E70" s="56"/>
      <c r="F70" s="54"/>
      <c r="G70" s="54"/>
      <c r="H70" s="92"/>
      <c r="I70" s="92"/>
      <c r="J70" s="92"/>
      <c r="K70" s="92"/>
      <c r="L70" s="92"/>
      <c r="M70" s="92"/>
      <c r="N70" s="92"/>
      <c r="O70" s="92"/>
      <c r="P70" s="92"/>
      <c r="Q70" s="92"/>
      <c r="R70" s="92"/>
    </row>
    <row r="71" spans="1:18" ht="12.75">
      <c r="A71" s="114" t="s">
        <v>265</v>
      </c>
      <c r="B71" s="54"/>
      <c r="C71" s="55" t="s">
        <v>1624</v>
      </c>
      <c r="D71" s="54"/>
      <c r="E71" s="54"/>
      <c r="F71" s="54"/>
      <c r="G71" s="54"/>
      <c r="H71" s="92"/>
      <c r="I71" s="92"/>
      <c r="J71" s="92"/>
      <c r="K71" s="92"/>
      <c r="L71" s="92"/>
      <c r="M71" s="92"/>
      <c r="N71" s="92"/>
      <c r="O71" s="92"/>
      <c r="P71" s="92"/>
      <c r="Q71" s="92"/>
      <c r="R71" s="92"/>
    </row>
    <row r="72" spans="1:18" ht="12.75">
      <c r="A72" s="114" t="s">
        <v>32</v>
      </c>
      <c r="B72" s="54"/>
      <c r="C72" s="55" t="s">
        <v>2021</v>
      </c>
      <c r="D72" s="54"/>
      <c r="E72" s="54"/>
      <c r="F72" s="54"/>
      <c r="G72" s="54"/>
      <c r="H72" s="92"/>
      <c r="I72" s="92"/>
      <c r="J72" s="92"/>
      <c r="K72" s="92"/>
      <c r="L72" s="92"/>
      <c r="M72" s="92"/>
      <c r="N72" s="92"/>
      <c r="O72" s="92"/>
      <c r="P72" s="92"/>
      <c r="Q72" s="92"/>
      <c r="R72" s="92"/>
    </row>
    <row r="73" spans="1:18" ht="12.75">
      <c r="A73" s="114" t="s">
        <v>265</v>
      </c>
      <c r="B73" s="54"/>
      <c r="C73" s="160" t="s">
        <v>903</v>
      </c>
      <c r="D73" s="54"/>
      <c r="E73" s="54"/>
      <c r="F73" s="54"/>
      <c r="G73" s="54"/>
      <c r="H73" s="92"/>
      <c r="I73" s="92"/>
      <c r="J73" s="92"/>
      <c r="K73" s="92"/>
      <c r="L73" s="92"/>
      <c r="M73" s="92"/>
      <c r="N73" s="92"/>
      <c r="O73" s="92"/>
      <c r="P73" s="92"/>
      <c r="Q73" s="92"/>
      <c r="R73" s="92"/>
    </row>
    <row r="74" spans="1:18" ht="12.75">
      <c r="A74" s="114" t="s">
        <v>265</v>
      </c>
      <c r="B74" s="54"/>
      <c r="C74" s="160" t="s">
        <v>923</v>
      </c>
      <c r="D74" s="54"/>
      <c r="E74" s="54"/>
      <c r="F74" s="54"/>
      <c r="G74" s="54"/>
      <c r="H74" s="92"/>
      <c r="I74" s="92"/>
      <c r="J74" s="92"/>
      <c r="K74" s="92"/>
      <c r="L74" s="92"/>
      <c r="M74" s="92"/>
      <c r="N74" s="92"/>
      <c r="O74" s="92"/>
      <c r="P74" s="92"/>
      <c r="Q74" s="92"/>
      <c r="R74" s="92"/>
    </row>
    <row r="75" spans="1:18" ht="12.75">
      <c r="A75" s="114" t="s">
        <v>265</v>
      </c>
      <c r="B75" s="54"/>
      <c r="C75" s="160" t="s">
        <v>924</v>
      </c>
      <c r="D75" s="54"/>
      <c r="E75" s="54"/>
      <c r="F75" s="54"/>
      <c r="G75" s="54"/>
      <c r="H75" s="92"/>
      <c r="I75" s="92"/>
      <c r="J75" s="92"/>
      <c r="K75" s="92"/>
      <c r="L75" s="92"/>
      <c r="M75" s="92"/>
      <c r="N75" s="92"/>
      <c r="O75" s="92"/>
      <c r="P75" s="92"/>
      <c r="Q75" s="92"/>
      <c r="R75" s="92"/>
    </row>
    <row r="76" spans="1:18" ht="12.75">
      <c r="A76" s="114" t="s">
        <v>265</v>
      </c>
      <c r="B76" s="54"/>
      <c r="C76" s="160" t="s">
        <v>221</v>
      </c>
      <c r="D76" s="54"/>
      <c r="E76" s="54"/>
      <c r="F76" s="54"/>
      <c r="G76" s="54"/>
      <c r="H76" s="92"/>
      <c r="I76" s="92"/>
      <c r="J76" s="92"/>
      <c r="K76" s="92"/>
      <c r="L76" s="92"/>
      <c r="M76" s="92"/>
      <c r="N76" s="92"/>
      <c r="O76" s="92"/>
      <c r="P76" s="92"/>
      <c r="Q76" s="92"/>
      <c r="R76" s="92"/>
    </row>
    <row r="77" spans="1:18" ht="12.75">
      <c r="A77" s="114" t="s">
        <v>265</v>
      </c>
      <c r="B77" s="54"/>
      <c r="C77" s="160" t="s">
        <v>926</v>
      </c>
      <c r="D77" s="54"/>
      <c r="E77" s="54"/>
      <c r="F77" s="54"/>
      <c r="G77" s="54"/>
      <c r="H77" s="92"/>
      <c r="I77" s="92"/>
      <c r="J77" s="92"/>
      <c r="K77" s="92"/>
      <c r="L77" s="92"/>
      <c r="M77" s="92"/>
      <c r="N77" s="92"/>
      <c r="O77" s="92"/>
      <c r="P77" s="92"/>
      <c r="Q77" s="92"/>
      <c r="R77" s="92"/>
    </row>
    <row r="78" spans="1:18" ht="12.75">
      <c r="A78" s="114" t="s">
        <v>265</v>
      </c>
      <c r="B78" s="54"/>
      <c r="C78" s="160" t="s">
        <v>1117</v>
      </c>
      <c r="D78" s="54"/>
      <c r="E78" s="54"/>
      <c r="F78" s="54"/>
      <c r="G78" s="54"/>
      <c r="H78" s="92"/>
      <c r="I78" s="92"/>
      <c r="J78" s="92"/>
      <c r="K78" s="92"/>
      <c r="L78" s="92"/>
      <c r="M78" s="92"/>
      <c r="N78" s="92"/>
      <c r="O78" s="92"/>
      <c r="P78" s="92"/>
      <c r="Q78" s="92"/>
      <c r="R78" s="92"/>
    </row>
    <row r="79" spans="1:18" ht="12.75">
      <c r="A79" s="114" t="s">
        <v>265</v>
      </c>
      <c r="B79" s="54"/>
      <c r="C79" s="160" t="s">
        <v>908</v>
      </c>
      <c r="D79" s="54"/>
      <c r="E79" s="54"/>
      <c r="F79" s="54"/>
      <c r="G79" s="54"/>
      <c r="H79" s="92"/>
      <c r="I79" s="92"/>
      <c r="J79" s="92"/>
      <c r="K79" s="92"/>
      <c r="L79" s="92"/>
      <c r="M79" s="92"/>
      <c r="N79" s="92"/>
      <c r="O79" s="92"/>
      <c r="P79" s="92"/>
      <c r="Q79" s="92"/>
      <c r="R79" s="92"/>
    </row>
    <row r="80" spans="1:18" ht="12.75">
      <c r="A80" s="114" t="s">
        <v>265</v>
      </c>
      <c r="B80" s="54"/>
      <c r="C80" s="160" t="s">
        <v>928</v>
      </c>
      <c r="D80" s="54"/>
      <c r="E80" s="54"/>
      <c r="F80" s="54"/>
      <c r="G80" s="54"/>
      <c r="H80" s="92"/>
      <c r="I80" s="92"/>
      <c r="J80" s="92"/>
      <c r="K80" s="92"/>
      <c r="L80" s="92"/>
      <c r="M80" s="92"/>
      <c r="N80" s="92"/>
      <c r="O80" s="92"/>
      <c r="P80" s="92"/>
      <c r="Q80" s="92"/>
      <c r="R80" s="92"/>
    </row>
    <row r="81" spans="1:18" ht="12.75">
      <c r="A81" s="114" t="s">
        <v>265</v>
      </c>
      <c r="B81" s="54"/>
      <c r="C81" s="160" t="s">
        <v>1162</v>
      </c>
      <c r="D81" s="54"/>
      <c r="E81" s="54"/>
      <c r="F81" s="54"/>
      <c r="G81" s="54"/>
      <c r="H81" s="92"/>
      <c r="I81" s="92"/>
      <c r="J81" s="92"/>
      <c r="K81" s="92"/>
      <c r="L81" s="92"/>
      <c r="M81" s="92"/>
      <c r="N81" s="92"/>
      <c r="O81" s="92"/>
      <c r="P81" s="92"/>
      <c r="Q81" s="92"/>
      <c r="R81" s="92"/>
    </row>
    <row r="82" spans="1:18" ht="12.75">
      <c r="A82" s="114" t="s">
        <v>265</v>
      </c>
      <c r="B82" s="54"/>
      <c r="C82" s="160" t="s">
        <v>929</v>
      </c>
      <c r="D82" s="54"/>
      <c r="E82" s="54"/>
      <c r="F82" s="54"/>
      <c r="G82" s="54"/>
      <c r="H82" s="92"/>
      <c r="I82" s="92"/>
      <c r="J82" s="92"/>
      <c r="K82" s="92"/>
      <c r="L82" s="92"/>
      <c r="M82" s="92"/>
      <c r="N82" s="92"/>
      <c r="O82" s="92"/>
      <c r="P82" s="92"/>
      <c r="Q82" s="92"/>
      <c r="R82" s="92"/>
    </row>
    <row r="83" spans="1:18" ht="12.75">
      <c r="A83" s="114" t="s">
        <v>32</v>
      </c>
      <c r="B83" s="57"/>
      <c r="C83" s="55" t="s">
        <v>884</v>
      </c>
      <c r="D83" s="55"/>
      <c r="E83" s="56"/>
      <c r="F83" s="54"/>
      <c r="G83" s="54"/>
      <c r="H83" s="92"/>
      <c r="I83" s="92"/>
      <c r="J83" s="92"/>
      <c r="K83" s="92"/>
      <c r="L83" s="92"/>
      <c r="M83" s="92"/>
      <c r="N83" s="92"/>
      <c r="O83" s="92"/>
      <c r="P83" s="92"/>
      <c r="Q83" s="92"/>
      <c r="R83" s="92"/>
    </row>
    <row r="84" spans="1:18" ht="12.75">
      <c r="A84" s="114" t="s">
        <v>265</v>
      </c>
      <c r="B84" s="57"/>
      <c r="C84" s="55" t="s">
        <v>930</v>
      </c>
      <c r="D84" s="55"/>
      <c r="E84" s="56"/>
      <c r="F84" s="54"/>
      <c r="G84" s="54"/>
      <c r="H84" s="92"/>
      <c r="I84" s="92"/>
      <c r="J84" s="92"/>
      <c r="K84" s="92"/>
      <c r="L84" s="92"/>
      <c r="M84" s="92"/>
      <c r="N84" s="92"/>
      <c r="O84" s="92"/>
      <c r="P84" s="92"/>
      <c r="Q84" s="92"/>
      <c r="R84" s="92"/>
    </row>
    <row r="85" spans="1:18" ht="12.75">
      <c r="A85" s="114"/>
      <c r="B85" s="57"/>
      <c r="C85" s="55" t="s">
        <v>931</v>
      </c>
      <c r="D85" s="55"/>
      <c r="E85" s="56"/>
      <c r="F85" s="54"/>
      <c r="G85" s="54"/>
      <c r="H85" s="92"/>
      <c r="I85" s="92"/>
      <c r="J85" s="92"/>
      <c r="K85" s="92"/>
      <c r="L85" s="92"/>
      <c r="M85" s="92"/>
      <c r="N85" s="92"/>
      <c r="O85" s="92"/>
      <c r="P85" s="92"/>
      <c r="Q85" s="92"/>
      <c r="R85" s="92"/>
    </row>
    <row r="86" spans="1:18" ht="12.75">
      <c r="A86" s="114" t="s">
        <v>32</v>
      </c>
      <c r="B86" s="54"/>
      <c r="C86" s="55" t="s">
        <v>894</v>
      </c>
      <c r="D86" s="54"/>
      <c r="E86" s="54"/>
      <c r="F86" s="54"/>
      <c r="G86" s="54"/>
      <c r="H86" s="92"/>
      <c r="I86" s="92"/>
      <c r="J86" s="92"/>
      <c r="K86" s="92"/>
      <c r="L86" s="92"/>
      <c r="M86" s="92"/>
      <c r="N86" s="92"/>
      <c r="O86" s="92"/>
      <c r="P86" s="92"/>
      <c r="Q86" s="92"/>
      <c r="R86" s="92"/>
    </row>
    <row r="87" spans="1:18" ht="12.75">
      <c r="A87" s="114" t="s">
        <v>32</v>
      </c>
      <c r="B87" s="54"/>
      <c r="C87" s="55" t="s">
        <v>888</v>
      </c>
      <c r="D87" s="54"/>
      <c r="E87" s="54"/>
      <c r="F87" s="54"/>
      <c r="G87" s="54"/>
      <c r="H87" s="92"/>
      <c r="I87" s="92"/>
      <c r="J87" s="92"/>
      <c r="K87" s="92"/>
      <c r="L87" s="92"/>
      <c r="M87" s="92"/>
      <c r="N87" s="92"/>
      <c r="O87" s="92"/>
      <c r="P87" s="92"/>
      <c r="Q87" s="92"/>
      <c r="R87" s="92"/>
    </row>
    <row r="88" spans="1:18" ht="12.75">
      <c r="A88" s="114" t="s">
        <v>32</v>
      </c>
      <c r="B88" s="54"/>
      <c r="C88" s="55" t="s">
        <v>889</v>
      </c>
      <c r="D88" s="54"/>
      <c r="E88" s="54"/>
      <c r="F88" s="54"/>
      <c r="G88" s="54"/>
      <c r="H88" s="92"/>
      <c r="I88" s="92"/>
      <c r="J88" s="92"/>
      <c r="K88" s="92"/>
      <c r="L88" s="92"/>
      <c r="M88" s="92"/>
      <c r="N88" s="92"/>
      <c r="O88" s="92"/>
      <c r="P88" s="92"/>
      <c r="Q88" s="92"/>
      <c r="R88" s="92"/>
    </row>
    <row r="89" spans="1:18" ht="12.75">
      <c r="A89" s="114" t="s">
        <v>32</v>
      </c>
      <c r="B89" s="54"/>
      <c r="C89" s="55" t="s">
        <v>890</v>
      </c>
      <c r="D89" s="54"/>
      <c r="E89" s="54"/>
      <c r="F89" s="54"/>
      <c r="G89" s="54"/>
      <c r="H89" s="92"/>
      <c r="I89" s="92"/>
      <c r="J89" s="92"/>
      <c r="K89" s="92"/>
      <c r="L89" s="92"/>
      <c r="M89" s="92"/>
      <c r="N89" s="92"/>
      <c r="O89" s="92"/>
      <c r="P89" s="92"/>
      <c r="Q89" s="92"/>
      <c r="R89" s="92"/>
    </row>
    <row r="90" spans="1:18" ht="12.75">
      <c r="A90" s="114" t="s">
        <v>904</v>
      </c>
      <c r="B90" s="54"/>
      <c r="C90" s="55" t="s">
        <v>905</v>
      </c>
      <c r="D90" s="54"/>
      <c r="E90" s="54"/>
      <c r="F90" s="54"/>
      <c r="G90" s="54"/>
      <c r="H90" s="92"/>
      <c r="I90" s="92"/>
      <c r="J90" s="92"/>
      <c r="K90" s="92"/>
      <c r="L90" s="92"/>
      <c r="M90" s="92"/>
      <c r="N90" s="92"/>
      <c r="O90" s="92"/>
      <c r="P90" s="92"/>
      <c r="Q90" s="92"/>
      <c r="R90" s="92"/>
    </row>
    <row r="91" spans="1:18" ht="12.75">
      <c r="A91" s="114" t="s">
        <v>906</v>
      </c>
      <c r="B91" s="54"/>
      <c r="C91" s="55" t="s">
        <v>907</v>
      </c>
      <c r="D91" s="54"/>
      <c r="E91" s="54"/>
      <c r="F91" s="54"/>
      <c r="G91" s="54"/>
      <c r="H91" s="92"/>
      <c r="I91" s="92"/>
      <c r="J91" s="92"/>
      <c r="K91" s="92"/>
      <c r="L91" s="92"/>
      <c r="M91" s="92"/>
      <c r="N91" s="92"/>
      <c r="O91" s="92"/>
      <c r="P91" s="92"/>
      <c r="Q91" s="92"/>
      <c r="R91" s="92"/>
    </row>
    <row r="92" spans="1:18" ht="12.75">
      <c r="A92" s="114" t="s">
        <v>265</v>
      </c>
      <c r="B92" s="54"/>
      <c r="C92" s="55" t="s">
        <v>897</v>
      </c>
      <c r="D92" s="54"/>
      <c r="E92" s="54"/>
      <c r="F92" s="54"/>
      <c r="G92" s="54"/>
      <c r="H92" s="92"/>
      <c r="I92" s="92"/>
      <c r="J92" s="92"/>
      <c r="K92" s="92"/>
      <c r="L92" s="92"/>
      <c r="M92" s="92"/>
      <c r="N92" s="92"/>
      <c r="O92" s="92"/>
      <c r="P92" s="92"/>
      <c r="Q92" s="92"/>
      <c r="R92" s="92"/>
    </row>
    <row r="93" spans="1:18" ht="12.75">
      <c r="A93" s="114" t="s">
        <v>32</v>
      </c>
      <c r="B93" s="54"/>
      <c r="C93" s="55" t="s">
        <v>895</v>
      </c>
      <c r="D93" s="54"/>
      <c r="E93" s="54"/>
      <c r="F93" s="54"/>
      <c r="G93" s="54"/>
      <c r="H93" s="92"/>
      <c r="I93" s="92"/>
      <c r="J93" s="92"/>
      <c r="K93" s="92"/>
      <c r="L93" s="92"/>
      <c r="M93" s="92"/>
      <c r="N93" s="92"/>
      <c r="O93" s="92"/>
      <c r="P93" s="92"/>
      <c r="Q93" s="92"/>
      <c r="R93" s="92"/>
    </row>
    <row r="94" spans="1:18" ht="12.75">
      <c r="A94" s="114" t="s">
        <v>1621</v>
      </c>
      <c r="B94" s="54"/>
      <c r="C94" s="160" t="s">
        <v>881</v>
      </c>
      <c r="D94" s="54"/>
      <c r="E94" s="54"/>
      <c r="F94" s="54"/>
      <c r="G94" s="54"/>
      <c r="H94" s="92"/>
      <c r="I94" s="92"/>
      <c r="J94" s="92"/>
      <c r="K94" s="92"/>
      <c r="L94" s="92"/>
      <c r="M94" s="92"/>
      <c r="N94" s="92"/>
      <c r="O94" s="92"/>
      <c r="P94" s="92"/>
      <c r="Q94" s="92"/>
      <c r="R94" s="92"/>
    </row>
    <row r="95" spans="1:18" ht="12.75">
      <c r="A95" s="114" t="s">
        <v>1621</v>
      </c>
      <c r="B95" s="54"/>
      <c r="C95" s="160" t="s">
        <v>882</v>
      </c>
      <c r="D95" s="54"/>
      <c r="E95" s="54"/>
      <c r="F95" s="54"/>
      <c r="G95" s="54"/>
      <c r="H95" s="92"/>
      <c r="I95" s="92"/>
      <c r="J95" s="92"/>
      <c r="K95" s="92"/>
      <c r="L95" s="92"/>
      <c r="M95" s="92"/>
      <c r="N95" s="92"/>
      <c r="O95" s="92"/>
      <c r="P95" s="92"/>
      <c r="Q95" s="92"/>
      <c r="R95" s="92"/>
    </row>
    <row r="96" spans="1:18" ht="12.75">
      <c r="A96" s="114" t="s">
        <v>1621</v>
      </c>
      <c r="B96" s="57"/>
      <c r="C96" s="55" t="s">
        <v>883</v>
      </c>
      <c r="D96" s="55"/>
      <c r="E96" s="56"/>
      <c r="F96" s="54"/>
      <c r="G96" s="54"/>
      <c r="H96" s="92"/>
      <c r="I96" s="92"/>
      <c r="J96" s="92"/>
      <c r="K96" s="92"/>
      <c r="L96" s="92"/>
      <c r="M96" s="92"/>
      <c r="N96" s="92"/>
      <c r="O96" s="92"/>
      <c r="P96" s="92"/>
      <c r="Q96" s="92"/>
      <c r="R96" s="92"/>
    </row>
    <row r="97" spans="1:18" ht="12.75">
      <c r="A97" s="215" t="s">
        <v>906</v>
      </c>
      <c r="B97" s="57"/>
      <c r="C97" s="56" t="s">
        <v>33</v>
      </c>
      <c r="D97" s="55"/>
      <c r="E97" s="56"/>
      <c r="F97" s="54"/>
      <c r="G97" s="132"/>
      <c r="H97" s="92"/>
      <c r="I97" s="92"/>
      <c r="J97" s="92"/>
      <c r="K97" s="92"/>
      <c r="L97" s="92"/>
      <c r="M97" s="92"/>
      <c r="N97" s="92"/>
      <c r="O97" s="92"/>
      <c r="P97" s="92"/>
      <c r="Q97" s="92"/>
      <c r="R97" s="92"/>
    </row>
    <row r="98" spans="1:18" ht="13.5" thickBot="1">
      <c r="A98" s="67" t="s">
        <v>1621</v>
      </c>
      <c r="B98" s="103"/>
      <c r="C98" s="55" t="s">
        <v>921</v>
      </c>
      <c r="D98" s="55"/>
      <c r="E98" s="56"/>
      <c r="F98" s="54"/>
      <c r="G98" s="132"/>
      <c r="H98" s="92"/>
      <c r="I98" s="92"/>
      <c r="J98" s="92"/>
      <c r="K98" s="92"/>
      <c r="L98" s="92"/>
      <c r="M98" s="92"/>
      <c r="N98" s="92"/>
      <c r="O98" s="92"/>
      <c r="P98" s="92"/>
      <c r="Q98" s="92"/>
      <c r="R98" s="92"/>
    </row>
    <row r="99" spans="1:18" ht="13.5" thickBot="1">
      <c r="A99" s="159"/>
      <c r="B99" s="103"/>
      <c r="C99" s="54" t="s">
        <v>1189</v>
      </c>
      <c r="D99" s="54"/>
      <c r="E99" s="54"/>
      <c r="F99" s="54"/>
      <c r="G99" s="54"/>
      <c r="O99" s="92"/>
      <c r="P99" s="92"/>
      <c r="Q99" s="92"/>
      <c r="R99" s="92"/>
    </row>
    <row r="100" spans="1:18" ht="12.75">
      <c r="A100" s="54" t="s">
        <v>265</v>
      </c>
      <c r="B100" s="54"/>
      <c r="C100" s="54" t="s">
        <v>479</v>
      </c>
      <c r="D100" s="54"/>
      <c r="E100" s="54"/>
      <c r="F100" s="54"/>
      <c r="G100" s="54"/>
      <c r="O100" s="92"/>
      <c r="P100" s="92"/>
      <c r="Q100" s="92"/>
      <c r="R100" s="92"/>
    </row>
    <row r="101" spans="1:18" ht="12.75">
      <c r="A101" s="54" t="s">
        <v>265</v>
      </c>
      <c r="B101" s="54"/>
      <c r="C101" s="54" t="s">
        <v>909</v>
      </c>
      <c r="D101" s="54"/>
      <c r="E101" s="54"/>
      <c r="F101" s="54"/>
      <c r="G101" s="54"/>
      <c r="O101" s="92"/>
      <c r="P101" s="92"/>
      <c r="Q101" s="92"/>
      <c r="R101" s="92"/>
    </row>
    <row r="102" spans="1:18" ht="12.75">
      <c r="A102" s="54" t="s">
        <v>911</v>
      </c>
      <c r="B102" s="54"/>
      <c r="C102" s="54" t="s">
        <v>910</v>
      </c>
      <c r="D102" s="54"/>
      <c r="E102" s="54"/>
      <c r="F102" s="54"/>
      <c r="G102" s="54"/>
      <c r="O102" s="92"/>
      <c r="P102" s="92"/>
      <c r="Q102" s="92"/>
      <c r="R102" s="92"/>
    </row>
    <row r="103" spans="1:18" ht="12.75">
      <c r="A103" s="54" t="s">
        <v>32</v>
      </c>
      <c r="B103" s="54"/>
      <c r="C103" s="54" t="s">
        <v>912</v>
      </c>
      <c r="D103" s="54"/>
      <c r="E103" s="54"/>
      <c r="F103" s="54"/>
      <c r="G103" s="54"/>
      <c r="O103" s="92"/>
      <c r="P103" s="92"/>
      <c r="Q103" s="92"/>
      <c r="R103" s="92"/>
    </row>
    <row r="104" spans="1:18" ht="12.75">
      <c r="A104" s="54" t="s">
        <v>32</v>
      </c>
      <c r="B104" s="54"/>
      <c r="C104" s="54" t="s">
        <v>913</v>
      </c>
      <c r="D104" s="54"/>
      <c r="E104" s="54"/>
      <c r="F104" s="54"/>
      <c r="G104" s="54"/>
      <c r="O104" s="92"/>
      <c r="P104" s="92"/>
      <c r="Q104" s="92"/>
      <c r="R104" s="92"/>
    </row>
    <row r="105" spans="1:18" ht="12.75">
      <c r="A105" s="54" t="s">
        <v>32</v>
      </c>
      <c r="B105" s="54"/>
      <c r="C105" s="54" t="s">
        <v>1411</v>
      </c>
      <c r="D105" s="54"/>
      <c r="E105" s="54"/>
      <c r="F105" s="54"/>
      <c r="G105" s="54"/>
      <c r="O105" s="92"/>
      <c r="P105" s="92"/>
      <c r="Q105" s="92"/>
      <c r="R105" s="92"/>
    </row>
    <row r="106" spans="1:18" ht="12.75">
      <c r="A106" s="54"/>
      <c r="B106" s="54"/>
      <c r="C106" s="54"/>
      <c r="D106" s="54"/>
      <c r="E106" s="54"/>
      <c r="F106" s="54"/>
      <c r="G106" s="54"/>
      <c r="O106" s="92"/>
      <c r="P106" s="92"/>
      <c r="Q106" s="92"/>
      <c r="R106" s="92"/>
    </row>
    <row r="107" spans="1:18" ht="12.75">
      <c r="A107" s="54"/>
      <c r="B107" s="54"/>
      <c r="C107" s="54"/>
      <c r="D107" s="54"/>
      <c r="E107" s="54"/>
      <c r="F107" s="54"/>
      <c r="G107" s="54"/>
      <c r="O107" s="92"/>
      <c r="P107" s="92"/>
      <c r="Q107" s="92"/>
      <c r="R107" s="92"/>
    </row>
    <row r="108" spans="1:18" ht="12.75">
      <c r="A108" s="54"/>
      <c r="B108" s="54"/>
      <c r="C108" s="54"/>
      <c r="D108" s="54"/>
      <c r="E108" s="54"/>
      <c r="F108" s="54"/>
      <c r="G108" s="54"/>
      <c r="O108" s="92"/>
      <c r="P108" s="92"/>
      <c r="Q108" s="92"/>
      <c r="R108" s="92"/>
    </row>
    <row r="109" spans="1:18" ht="12.75">
      <c r="A109" s="54"/>
      <c r="B109" s="54"/>
      <c r="C109" s="54"/>
      <c r="D109" s="54"/>
      <c r="E109" s="54"/>
      <c r="F109" s="54"/>
      <c r="G109" s="54"/>
      <c r="O109" s="92"/>
      <c r="P109" s="92"/>
      <c r="Q109" s="92"/>
      <c r="R109" s="92"/>
    </row>
    <row r="110" spans="1:18" ht="12.75">
      <c r="A110" s="54"/>
      <c r="B110" s="54"/>
      <c r="C110" s="54"/>
      <c r="D110" s="54"/>
      <c r="E110" s="54"/>
      <c r="F110" s="54"/>
      <c r="G110" s="54"/>
      <c r="O110" s="92"/>
      <c r="P110" s="92"/>
      <c r="Q110" s="92"/>
      <c r="R110" s="92"/>
    </row>
    <row r="111" spans="1:18" ht="12.75">
      <c r="A111" s="54"/>
      <c r="B111" s="54"/>
      <c r="C111" s="54"/>
      <c r="D111" s="54"/>
      <c r="E111" s="54"/>
      <c r="F111" s="54"/>
      <c r="G111" s="54"/>
      <c r="O111" s="92"/>
      <c r="P111" s="92"/>
      <c r="Q111" s="92"/>
      <c r="R111" s="92"/>
    </row>
    <row r="112" spans="15:18" ht="12.75">
      <c r="O112" s="92"/>
      <c r="P112" s="92"/>
      <c r="Q112" s="92"/>
      <c r="R112" s="92"/>
    </row>
    <row r="113" spans="15:18" ht="12.75">
      <c r="O113" s="92"/>
      <c r="P113" s="92"/>
      <c r="Q113" s="92"/>
      <c r="R113" s="92"/>
    </row>
    <row r="114" spans="15:18" ht="12.75">
      <c r="O114" s="92"/>
      <c r="P114" s="92"/>
      <c r="Q114" s="92"/>
      <c r="R114" s="92"/>
    </row>
    <row r="115" spans="15:18" ht="12.75">
      <c r="O115" s="92"/>
      <c r="P115" s="92"/>
      <c r="Q115" s="92"/>
      <c r="R115" s="92"/>
    </row>
    <row r="116" spans="15:18" ht="12.75">
      <c r="O116" s="92"/>
      <c r="P116" s="92"/>
      <c r="Q116" s="92"/>
      <c r="R116" s="92"/>
    </row>
    <row r="117" spans="15:18" ht="12.75">
      <c r="O117" s="92"/>
      <c r="P117" s="92"/>
      <c r="Q117" s="92"/>
      <c r="R117" s="92"/>
    </row>
    <row r="118" spans="15:18" ht="12.75">
      <c r="O118" s="92"/>
      <c r="P118" s="92"/>
      <c r="Q118" s="92"/>
      <c r="R118" s="92"/>
    </row>
    <row r="119" spans="15:18" ht="12.75">
      <c r="O119" s="92"/>
      <c r="P119" s="92"/>
      <c r="Q119" s="92"/>
      <c r="R119" s="92"/>
    </row>
    <row r="120" spans="15:18" ht="12.75">
      <c r="O120" s="92"/>
      <c r="P120" s="92"/>
      <c r="Q120" s="92"/>
      <c r="R120" s="92"/>
    </row>
    <row r="121" spans="15:18" ht="12.75">
      <c r="O121" s="92"/>
      <c r="P121" s="92"/>
      <c r="Q121" s="92"/>
      <c r="R121" s="92"/>
    </row>
    <row r="122" spans="15:18" ht="12.75">
      <c r="O122" s="92"/>
      <c r="P122" s="92"/>
      <c r="Q122" s="92"/>
      <c r="R122" s="92"/>
    </row>
    <row r="123" spans="15:18" ht="12.75">
      <c r="O123" s="92"/>
      <c r="P123" s="92"/>
      <c r="Q123" s="92"/>
      <c r="R123" s="92"/>
    </row>
    <row r="124" spans="15:18" ht="12.75">
      <c r="O124" s="92"/>
      <c r="P124" s="92"/>
      <c r="Q124" s="92"/>
      <c r="R124" s="92"/>
    </row>
    <row r="125" spans="15:18" ht="12.75">
      <c r="O125" s="92"/>
      <c r="P125" s="92"/>
      <c r="Q125" s="92"/>
      <c r="R125" s="92"/>
    </row>
    <row r="126" spans="15:18" ht="12.75">
      <c r="O126" s="92"/>
      <c r="P126" s="92"/>
      <c r="Q126" s="92"/>
      <c r="R126" s="92"/>
    </row>
    <row r="127" spans="15:18" ht="12.75">
      <c r="O127" s="92"/>
      <c r="P127" s="92"/>
      <c r="Q127" s="92"/>
      <c r="R127" s="92"/>
    </row>
    <row r="128" spans="15:18" ht="12.75">
      <c r="O128" s="92"/>
      <c r="P128" s="92"/>
      <c r="Q128" s="92"/>
      <c r="R128" s="92"/>
    </row>
    <row r="129" spans="15:18" ht="12.75">
      <c r="O129" s="92"/>
      <c r="P129" s="92"/>
      <c r="Q129" s="92"/>
      <c r="R129" s="92"/>
    </row>
    <row r="130" spans="15:18" ht="12.75">
      <c r="O130" s="92"/>
      <c r="P130" s="92"/>
      <c r="Q130" s="92"/>
      <c r="R130" s="92"/>
    </row>
    <row r="131" spans="15:18" ht="12.75">
      <c r="O131" s="92"/>
      <c r="P131" s="92"/>
      <c r="Q131" s="92"/>
      <c r="R131" s="92"/>
    </row>
    <row r="132" spans="15:18" ht="12.75">
      <c r="O132" s="92"/>
      <c r="P132" s="92"/>
      <c r="Q132" s="92"/>
      <c r="R132" s="92"/>
    </row>
    <row r="133" spans="15:18" ht="12.75">
      <c r="O133" s="92"/>
      <c r="P133" s="92"/>
      <c r="Q133" s="92"/>
      <c r="R133" s="92"/>
    </row>
    <row r="134" spans="15:18" ht="12.75">
      <c r="O134" s="92"/>
      <c r="P134" s="92"/>
      <c r="Q134" s="92"/>
      <c r="R134" s="92"/>
    </row>
    <row r="135" spans="15:18" ht="12.75">
      <c r="O135" s="92"/>
      <c r="P135" s="92"/>
      <c r="Q135" s="92"/>
      <c r="R135" s="92"/>
    </row>
    <row r="136" spans="15:18" ht="12.75">
      <c r="O136" s="92"/>
      <c r="P136" s="92"/>
      <c r="Q136" s="92"/>
      <c r="R136" s="92"/>
    </row>
    <row r="137" spans="15:18" ht="12.75">
      <c r="O137" s="92"/>
      <c r="P137" s="92"/>
      <c r="Q137" s="92"/>
      <c r="R137" s="92"/>
    </row>
    <row r="138" spans="15:18" ht="12.75">
      <c r="O138" s="92"/>
      <c r="P138" s="92"/>
      <c r="Q138" s="92"/>
      <c r="R138" s="92"/>
    </row>
    <row r="139" spans="15:18" ht="12.75">
      <c r="O139" s="92"/>
      <c r="P139" s="92"/>
      <c r="Q139" s="92"/>
      <c r="R139" s="92"/>
    </row>
    <row r="140" spans="15:18" ht="12.75">
      <c r="O140" s="92"/>
      <c r="P140" s="92"/>
      <c r="Q140" s="92"/>
      <c r="R140" s="92"/>
    </row>
    <row r="141" spans="15:18" ht="12.75">
      <c r="O141" s="92"/>
      <c r="P141" s="92"/>
      <c r="Q141" s="92"/>
      <c r="R141" s="92"/>
    </row>
    <row r="142" spans="15:18" ht="12.75">
      <c r="O142" s="92"/>
      <c r="P142" s="92"/>
      <c r="Q142" s="92"/>
      <c r="R142" s="92"/>
    </row>
    <row r="143" spans="15:18" ht="12.75">
      <c r="O143" s="92"/>
      <c r="P143" s="92"/>
      <c r="Q143" s="92"/>
      <c r="R143" s="92"/>
    </row>
    <row r="144" spans="15:18" ht="12.75">
      <c r="O144" s="92"/>
      <c r="P144" s="92"/>
      <c r="Q144" s="92"/>
      <c r="R144" s="92"/>
    </row>
    <row r="145" spans="15:18" ht="12.75">
      <c r="O145" s="92"/>
      <c r="P145" s="92"/>
      <c r="Q145" s="92"/>
      <c r="R145" s="92"/>
    </row>
    <row r="146" spans="15:18" ht="12.75">
      <c r="O146" s="92"/>
      <c r="P146" s="92"/>
      <c r="Q146" s="92"/>
      <c r="R146" s="92"/>
    </row>
    <row r="147" spans="15:18" ht="12.75">
      <c r="O147" s="92"/>
      <c r="P147" s="92"/>
      <c r="Q147" s="92"/>
      <c r="R147" s="92"/>
    </row>
    <row r="148" spans="15:18" ht="12.75">
      <c r="O148" s="92"/>
      <c r="P148" s="92"/>
      <c r="Q148" s="92"/>
      <c r="R148" s="92"/>
    </row>
    <row r="149" spans="15:18" ht="12.75">
      <c r="O149" s="92"/>
      <c r="P149" s="92"/>
      <c r="Q149" s="92"/>
      <c r="R149" s="92"/>
    </row>
    <row r="150" spans="15:18" ht="12.75">
      <c r="O150" s="92"/>
      <c r="P150" s="92"/>
      <c r="Q150" s="92"/>
      <c r="R150" s="92"/>
    </row>
    <row r="151" spans="15:18" ht="12.75">
      <c r="O151" s="92"/>
      <c r="P151" s="92"/>
      <c r="Q151" s="92"/>
      <c r="R151" s="92"/>
    </row>
    <row r="152" spans="15:18" ht="12.75">
      <c r="O152" s="92"/>
      <c r="P152" s="92"/>
      <c r="Q152" s="92"/>
      <c r="R152" s="92"/>
    </row>
    <row r="153" spans="15:18" ht="12.75">
      <c r="O153" s="92"/>
      <c r="P153" s="92"/>
      <c r="Q153" s="92"/>
      <c r="R153" s="92"/>
    </row>
    <row r="154" spans="15:18" ht="12.75">
      <c r="O154" s="92"/>
      <c r="P154" s="92"/>
      <c r="Q154" s="92"/>
      <c r="R154" s="92"/>
    </row>
    <row r="155" spans="15:18" ht="12.75">
      <c r="O155" s="92"/>
      <c r="P155" s="92"/>
      <c r="Q155" s="92"/>
      <c r="R155" s="92"/>
    </row>
    <row r="156" spans="15:18" ht="12.75">
      <c r="O156" s="92"/>
      <c r="P156" s="92"/>
      <c r="Q156" s="92"/>
      <c r="R156" s="92"/>
    </row>
    <row r="157" spans="15:18" ht="12.75">
      <c r="O157" s="92"/>
      <c r="P157" s="92"/>
      <c r="Q157" s="92"/>
      <c r="R157" s="92"/>
    </row>
    <row r="158" spans="15:18" ht="12.75">
      <c r="O158" s="92"/>
      <c r="P158" s="92"/>
      <c r="Q158" s="92"/>
      <c r="R158" s="92"/>
    </row>
    <row r="159" spans="15:18" ht="12.75">
      <c r="O159" s="92"/>
      <c r="P159" s="92"/>
      <c r="Q159" s="92"/>
      <c r="R159" s="92"/>
    </row>
    <row r="160" spans="15:18" ht="12.75">
      <c r="O160" s="92"/>
      <c r="P160" s="92"/>
      <c r="Q160" s="92"/>
      <c r="R160" s="92"/>
    </row>
    <row r="161" spans="15:18" ht="12.75">
      <c r="O161" s="92"/>
      <c r="P161" s="92"/>
      <c r="Q161" s="92"/>
      <c r="R161" s="92"/>
    </row>
    <row r="162" spans="15:18" ht="12.75">
      <c r="O162" s="92"/>
      <c r="P162" s="92"/>
      <c r="Q162" s="92"/>
      <c r="R162" s="92"/>
    </row>
    <row r="163" spans="15:18" ht="12.75">
      <c r="O163" s="92"/>
      <c r="P163" s="92"/>
      <c r="Q163" s="92"/>
      <c r="R163" s="92"/>
    </row>
    <row r="164" spans="15:18" ht="12.75">
      <c r="O164" s="92"/>
      <c r="P164" s="92"/>
      <c r="Q164" s="92"/>
      <c r="R164" s="92"/>
    </row>
    <row r="165" spans="15:18" ht="12.75">
      <c r="O165" s="92"/>
      <c r="P165" s="92"/>
      <c r="Q165" s="92"/>
      <c r="R165" s="92"/>
    </row>
    <row r="166" spans="15:18" ht="12.75">
      <c r="O166" s="92"/>
      <c r="P166" s="92"/>
      <c r="Q166" s="92"/>
      <c r="R166" s="92"/>
    </row>
  </sheetData>
  <mergeCells count="1">
    <mergeCell ref="A15:A17"/>
  </mergeCells>
  <printOptions/>
  <pageMargins left="0.75" right="0.75" top="0.24" bottom="0.24" header="0.15" footer="0.2"/>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AC83"/>
  <sheetViews>
    <sheetView workbookViewId="0" topLeftCell="A1">
      <pane ySplit="1" topLeftCell="BM2" activePane="bottomLeft" state="frozen"/>
      <selection pane="topLeft" activeCell="A1" sqref="A1"/>
      <selection pane="bottomLeft" activeCell="A25" sqref="A25:E25"/>
    </sheetView>
  </sheetViews>
  <sheetFormatPr defaultColWidth="9.140625" defaultRowHeight="12.75"/>
  <cols>
    <col min="1" max="1" width="6.00390625" style="0" bestFit="1" customWidth="1"/>
    <col min="2" max="2" width="6.140625" style="0" customWidth="1"/>
    <col min="3" max="3" width="4.57421875" style="0" bestFit="1" customWidth="1"/>
    <col min="4" max="4" width="4.28125" style="0" customWidth="1"/>
    <col min="5" max="5" width="29.7109375" style="0" customWidth="1"/>
    <col min="6" max="6" width="3.8515625" style="0" customWidth="1"/>
    <col min="7" max="7" width="4.00390625" style="0" customWidth="1"/>
    <col min="8" max="8" width="2.8515625" style="0" customWidth="1"/>
    <col min="9" max="9" width="3.7109375" style="0" customWidth="1"/>
    <col min="10" max="10" width="3.00390625" style="0" customWidth="1"/>
    <col min="11" max="11" width="2.8515625" style="0" customWidth="1"/>
    <col min="12" max="12" width="3.7109375" style="0" customWidth="1"/>
    <col min="13" max="13" width="2.8515625" style="0" customWidth="1"/>
    <col min="14" max="14" width="2.57421875" style="0" customWidth="1"/>
    <col min="15" max="15" width="3.7109375" style="0" customWidth="1"/>
    <col min="16" max="16" width="3.57421875" style="0" customWidth="1"/>
    <col min="17" max="17" width="3.00390625" style="0" customWidth="1"/>
    <col min="18" max="18" width="3.28125" style="0" customWidth="1"/>
    <col min="19" max="19" width="4.421875" style="0" customWidth="1"/>
    <col min="20" max="20" width="3.00390625" style="0" customWidth="1"/>
    <col min="21" max="21" width="4.7109375" style="0" bestFit="1" customWidth="1"/>
    <col min="22" max="22" width="4.28125" style="0" bestFit="1" customWidth="1"/>
    <col min="23" max="23" width="4.00390625" style="0" customWidth="1"/>
    <col min="24" max="25" width="4.00390625" style="0" bestFit="1" customWidth="1"/>
    <col min="26" max="27" width="4.7109375" style="0" customWidth="1"/>
  </cols>
  <sheetData>
    <row r="1" spans="2:29" ht="118.5" customHeight="1">
      <c r="B1" s="28" t="s">
        <v>1603</v>
      </c>
      <c r="C1" t="s">
        <v>1265</v>
      </c>
      <c r="D1" t="s">
        <v>1604</v>
      </c>
      <c r="E1" s="12" t="s">
        <v>2075</v>
      </c>
      <c r="F1" s="28" t="s">
        <v>1932</v>
      </c>
      <c r="G1" s="1" t="s">
        <v>559</v>
      </c>
      <c r="H1" s="1" t="s">
        <v>585</v>
      </c>
      <c r="I1" s="1" t="s">
        <v>584</v>
      </c>
      <c r="J1" s="1" t="s">
        <v>583</v>
      </c>
      <c r="K1" s="1" t="s">
        <v>582</v>
      </c>
      <c r="L1" s="1" t="s">
        <v>581</v>
      </c>
      <c r="M1" s="1" t="s">
        <v>580</v>
      </c>
      <c r="N1" s="1" t="s">
        <v>579</v>
      </c>
      <c r="O1" s="1" t="s">
        <v>560</v>
      </c>
      <c r="P1" s="1" t="s">
        <v>1798</v>
      </c>
      <c r="Q1" s="1" t="s">
        <v>1797</v>
      </c>
      <c r="R1" s="1" t="s">
        <v>1785</v>
      </c>
      <c r="S1" s="1" t="s">
        <v>1820</v>
      </c>
      <c r="T1" s="1" t="s">
        <v>563</v>
      </c>
      <c r="U1" s="1" t="s">
        <v>572</v>
      </c>
      <c r="V1" s="1" t="s">
        <v>571</v>
      </c>
      <c r="W1" s="1" t="s">
        <v>575</v>
      </c>
      <c r="X1" s="1" t="s">
        <v>576</v>
      </c>
      <c r="Y1" s="1" t="s">
        <v>577</v>
      </c>
      <c r="Z1" s="1" t="s">
        <v>578</v>
      </c>
      <c r="AA1" s="1" t="s">
        <v>553</v>
      </c>
      <c r="AB1" s="1"/>
      <c r="AC1" s="1"/>
    </row>
    <row r="2" spans="1:29" ht="12.75">
      <c r="A2" s="9">
        <f aca="true" t="shared" si="0" ref="A2:A16">G2*U2</f>
        <v>540</v>
      </c>
      <c r="B2">
        <f>6*F2</f>
        <v>132</v>
      </c>
      <c r="C2" s="2">
        <f aca="true" t="shared" si="1" ref="C2:C21">B2/28.349523</f>
        <v>4.6561629978747785</v>
      </c>
      <c r="D2" s="2">
        <f aca="true" t="shared" si="2" ref="D2:D21">C2/16</f>
        <v>0.29101018736717366</v>
      </c>
      <c r="E2" s="11" t="s">
        <v>253</v>
      </c>
      <c r="F2" s="9">
        <v>22</v>
      </c>
      <c r="G2">
        <v>90</v>
      </c>
      <c r="H2">
        <v>2</v>
      </c>
      <c r="I2" s="10">
        <v>0.5</v>
      </c>
      <c r="J2">
        <v>0</v>
      </c>
      <c r="K2">
        <v>18</v>
      </c>
      <c r="L2">
        <v>8</v>
      </c>
      <c r="M2">
        <v>1</v>
      </c>
      <c r="N2">
        <v>0</v>
      </c>
      <c r="O2" s="2">
        <f aca="true" t="shared" si="3" ref="O2:O16">G2/F2</f>
        <v>4.090909090909091</v>
      </c>
      <c r="P2" s="42">
        <f aca="true" t="shared" si="4" ref="P2:P16">100*4*M2/G2</f>
        <v>4.444444444444445</v>
      </c>
      <c r="Q2" s="9">
        <f aca="true" t="shared" si="5" ref="Q2:Q16">100*9*H2/G2</f>
        <v>20</v>
      </c>
      <c r="R2" s="42">
        <f aca="true" t="shared" si="6" ref="R2:R16">100*(I2*9)/G2</f>
        <v>5</v>
      </c>
      <c r="S2" s="29">
        <f aca="true" t="shared" si="7" ref="S2:S16">100*K2*4/G2</f>
        <v>80</v>
      </c>
      <c r="T2" s="42">
        <f aca="true" t="shared" si="8" ref="T2:T16">100*N2/F2</f>
        <v>0</v>
      </c>
      <c r="U2" s="44">
        <f aca="true" t="shared" si="9" ref="U2:U16">B2/F2</f>
        <v>6</v>
      </c>
      <c r="V2" s="9">
        <f aca="true" t="shared" si="10" ref="V2:V16">U2*M2</f>
        <v>6</v>
      </c>
      <c r="W2" s="9">
        <f aca="true" t="shared" si="11" ref="W2:W16">U2*H2</f>
        <v>12</v>
      </c>
      <c r="X2" s="9">
        <f aca="true" t="shared" si="12" ref="X2:X16">U2*K2</f>
        <v>108</v>
      </c>
      <c r="Y2" s="9">
        <f aca="true" t="shared" si="13" ref="Y2:Y16">N2*U2</f>
        <v>0</v>
      </c>
      <c r="Z2">
        <f aca="true" t="shared" si="14" ref="Z2:Z16">U2*J2</f>
        <v>0</v>
      </c>
      <c r="AA2" s="2">
        <f aca="true" t="shared" si="15" ref="AA2:AA16">I2*U2</f>
        <v>3</v>
      </c>
      <c r="AB2" s="9" t="s">
        <v>1591</v>
      </c>
      <c r="AC2" s="9"/>
    </row>
    <row r="3" spans="1:29" ht="12.75">
      <c r="A3" s="9">
        <f>G3*U3</f>
        <v>380</v>
      </c>
      <c r="B3">
        <v>100</v>
      </c>
      <c r="C3" s="2">
        <f t="shared" si="1"/>
        <v>3.527396210511196</v>
      </c>
      <c r="D3" s="2">
        <f t="shared" si="2"/>
        <v>0.22046226315694975</v>
      </c>
      <c r="E3" s="11" t="s">
        <v>44</v>
      </c>
      <c r="F3" s="9">
        <v>50</v>
      </c>
      <c r="G3">
        <v>190</v>
      </c>
      <c r="H3">
        <v>4.5</v>
      </c>
      <c r="I3" s="10">
        <v>3</v>
      </c>
      <c r="J3">
        <v>15</v>
      </c>
      <c r="K3">
        <v>19</v>
      </c>
      <c r="L3">
        <v>2</v>
      </c>
      <c r="M3">
        <v>20</v>
      </c>
      <c r="N3">
        <v>0</v>
      </c>
      <c r="O3" s="2">
        <f>G3/F3</f>
        <v>3.8</v>
      </c>
      <c r="P3" s="29">
        <f>100*4*M3/G3</f>
        <v>42.10526315789474</v>
      </c>
      <c r="Q3" s="9">
        <f>100*9*H3/G3</f>
        <v>21.31578947368421</v>
      </c>
      <c r="R3" s="16">
        <f>100*(I3*9)/G3</f>
        <v>14.210526315789474</v>
      </c>
      <c r="S3" s="16">
        <f>100*K3*4/G3</f>
        <v>40</v>
      </c>
      <c r="T3" s="42">
        <f>100*N3/F3</f>
        <v>0</v>
      </c>
      <c r="U3" s="44">
        <f t="shared" si="9"/>
        <v>2</v>
      </c>
      <c r="V3" s="9">
        <f>U3*M3</f>
        <v>40</v>
      </c>
      <c r="W3" s="9">
        <f>U3*H3</f>
        <v>9</v>
      </c>
      <c r="X3" s="9">
        <f>U3*K3</f>
        <v>38</v>
      </c>
      <c r="Y3" s="9">
        <f>N3*U3</f>
        <v>0</v>
      </c>
      <c r="Z3">
        <f>U3*J3</f>
        <v>30</v>
      </c>
      <c r="AA3" s="2">
        <f>I3*U3</f>
        <v>6</v>
      </c>
      <c r="AB3" s="9" t="s">
        <v>1468</v>
      </c>
      <c r="AC3" s="9"/>
    </row>
    <row r="4" spans="1:29" ht="12.75">
      <c r="A4" s="9">
        <f t="shared" si="0"/>
        <v>420</v>
      </c>
      <c r="B4">
        <v>100</v>
      </c>
      <c r="C4" s="2">
        <f t="shared" si="1"/>
        <v>3.527396210511196</v>
      </c>
      <c r="D4" s="2">
        <f t="shared" si="2"/>
        <v>0.22046226315694975</v>
      </c>
      <c r="E4" s="11" t="s">
        <v>531</v>
      </c>
      <c r="F4" s="9">
        <v>50</v>
      </c>
      <c r="G4">
        <v>210</v>
      </c>
      <c r="H4">
        <v>7</v>
      </c>
      <c r="I4" s="10">
        <v>4.5</v>
      </c>
      <c r="J4">
        <v>2.5</v>
      </c>
      <c r="K4">
        <v>22</v>
      </c>
      <c r="L4">
        <v>13</v>
      </c>
      <c r="M4">
        <v>16</v>
      </c>
      <c r="N4" s="9">
        <v>0.5</v>
      </c>
      <c r="O4" s="2">
        <f t="shared" si="3"/>
        <v>4.2</v>
      </c>
      <c r="P4" s="29">
        <f t="shared" si="4"/>
        <v>30.476190476190474</v>
      </c>
      <c r="Q4" s="9">
        <f t="shared" si="5"/>
        <v>30</v>
      </c>
      <c r="R4" s="29">
        <f t="shared" si="6"/>
        <v>19.285714285714285</v>
      </c>
      <c r="S4" s="16">
        <f t="shared" si="7"/>
        <v>41.904761904761905</v>
      </c>
      <c r="T4" s="9">
        <f t="shared" si="8"/>
        <v>1</v>
      </c>
      <c r="U4" s="44">
        <f t="shared" si="9"/>
        <v>2</v>
      </c>
      <c r="V4" s="16">
        <f t="shared" si="10"/>
        <v>32</v>
      </c>
      <c r="W4" s="9">
        <f t="shared" si="11"/>
        <v>14</v>
      </c>
      <c r="X4" s="9">
        <f t="shared" si="12"/>
        <v>44</v>
      </c>
      <c r="Y4" s="16">
        <f t="shared" si="13"/>
        <v>1</v>
      </c>
      <c r="Z4">
        <f t="shared" si="14"/>
        <v>5</v>
      </c>
      <c r="AA4" s="2">
        <f t="shared" si="15"/>
        <v>9</v>
      </c>
      <c r="AB4" s="11" t="s">
        <v>532</v>
      </c>
      <c r="AC4" s="9"/>
    </row>
    <row r="5" spans="1:29" ht="12.75">
      <c r="A5" s="9">
        <f t="shared" si="0"/>
        <v>630</v>
      </c>
      <c r="B5">
        <f>3*F5</f>
        <v>150</v>
      </c>
      <c r="C5" s="2">
        <f t="shared" si="1"/>
        <v>5.291094315766794</v>
      </c>
      <c r="D5" s="2">
        <f t="shared" si="2"/>
        <v>0.33069339473542464</v>
      </c>
      <c r="E5" s="11" t="s">
        <v>1321</v>
      </c>
      <c r="F5" s="9">
        <v>50</v>
      </c>
      <c r="G5">
        <v>210</v>
      </c>
      <c r="H5">
        <v>7</v>
      </c>
      <c r="I5" s="10">
        <v>4.5</v>
      </c>
      <c r="J5">
        <v>2.5</v>
      </c>
      <c r="K5">
        <v>21</v>
      </c>
      <c r="L5">
        <v>14</v>
      </c>
      <c r="M5">
        <v>15</v>
      </c>
      <c r="N5">
        <v>1</v>
      </c>
      <c r="O5" s="2">
        <f t="shared" si="3"/>
        <v>4.2</v>
      </c>
      <c r="P5" s="16">
        <f t="shared" si="4"/>
        <v>28.571428571428573</v>
      </c>
      <c r="Q5" s="9">
        <f t="shared" si="5"/>
        <v>30</v>
      </c>
      <c r="R5" s="29">
        <f t="shared" si="6"/>
        <v>19.285714285714285</v>
      </c>
      <c r="S5" s="16">
        <f t="shared" si="7"/>
        <v>40</v>
      </c>
      <c r="T5" s="9">
        <f t="shared" si="8"/>
        <v>2</v>
      </c>
      <c r="U5" s="44">
        <f t="shared" si="9"/>
        <v>3</v>
      </c>
      <c r="V5" s="16">
        <f t="shared" si="10"/>
        <v>45</v>
      </c>
      <c r="W5" s="9">
        <f t="shared" si="11"/>
        <v>21</v>
      </c>
      <c r="X5" s="9">
        <f t="shared" si="12"/>
        <v>63</v>
      </c>
      <c r="Y5" s="16">
        <f t="shared" si="13"/>
        <v>3</v>
      </c>
      <c r="Z5">
        <f t="shared" si="14"/>
        <v>7.5</v>
      </c>
      <c r="AA5" s="2">
        <f t="shared" si="15"/>
        <v>13.5</v>
      </c>
      <c r="AB5" s="11" t="s">
        <v>532</v>
      </c>
      <c r="AC5" s="9"/>
    </row>
    <row r="6" spans="1:29" ht="12.75">
      <c r="A6" s="9">
        <f t="shared" si="0"/>
        <v>420</v>
      </c>
      <c r="B6">
        <f>3*35</f>
        <v>105</v>
      </c>
      <c r="C6" s="2">
        <f t="shared" si="1"/>
        <v>3.703766021036756</v>
      </c>
      <c r="D6" s="2">
        <f t="shared" si="2"/>
        <v>0.23148537631479724</v>
      </c>
      <c r="E6" s="11" t="s">
        <v>43</v>
      </c>
      <c r="F6" s="9">
        <v>35</v>
      </c>
      <c r="G6">
        <v>140</v>
      </c>
      <c r="H6">
        <v>3.5</v>
      </c>
      <c r="I6" s="10">
        <v>0</v>
      </c>
      <c r="J6" s="6">
        <v>0</v>
      </c>
      <c r="K6" s="6">
        <v>26</v>
      </c>
      <c r="L6" s="6">
        <v>13</v>
      </c>
      <c r="M6" s="6">
        <v>2</v>
      </c>
      <c r="N6" s="6">
        <v>1</v>
      </c>
      <c r="O6" s="2">
        <f t="shared" si="3"/>
        <v>4</v>
      </c>
      <c r="P6" s="16">
        <f t="shared" si="4"/>
        <v>5.714285714285714</v>
      </c>
      <c r="Q6" s="9">
        <f t="shared" si="5"/>
        <v>22.5</v>
      </c>
      <c r="R6" s="16">
        <f t="shared" si="6"/>
        <v>0</v>
      </c>
      <c r="S6" s="16">
        <f>100*K6*4/G6</f>
        <v>74.28571428571429</v>
      </c>
      <c r="T6" s="9">
        <f t="shared" si="8"/>
        <v>2.857142857142857</v>
      </c>
      <c r="U6" s="44">
        <f>B6/F6</f>
        <v>3</v>
      </c>
      <c r="V6" s="16">
        <f t="shared" si="10"/>
        <v>6</v>
      </c>
      <c r="W6" s="9">
        <f t="shared" si="11"/>
        <v>10.5</v>
      </c>
      <c r="X6" s="9">
        <f t="shared" si="12"/>
        <v>78</v>
      </c>
      <c r="Y6" s="9">
        <f t="shared" si="13"/>
        <v>3</v>
      </c>
      <c r="Z6">
        <f t="shared" si="14"/>
        <v>0</v>
      </c>
      <c r="AA6" s="2">
        <f t="shared" si="15"/>
        <v>0</v>
      </c>
      <c r="AB6" s="9" t="s">
        <v>1823</v>
      </c>
      <c r="AC6" s="9"/>
    </row>
    <row r="7" spans="1:29" ht="12.75">
      <c r="A7" s="9">
        <f t="shared" si="0"/>
        <v>360</v>
      </c>
      <c r="B7" s="6">
        <f>2*48</f>
        <v>96</v>
      </c>
      <c r="C7" s="2">
        <f t="shared" si="1"/>
        <v>3.3863003620907484</v>
      </c>
      <c r="D7" s="2">
        <f t="shared" si="2"/>
        <v>0.21164377263067177</v>
      </c>
      <c r="E7" s="11" t="s">
        <v>724</v>
      </c>
      <c r="F7" s="9">
        <v>48</v>
      </c>
      <c r="G7">
        <v>180</v>
      </c>
      <c r="H7">
        <v>4</v>
      </c>
      <c r="I7" s="10">
        <v>3</v>
      </c>
      <c r="J7" s="6">
        <v>0</v>
      </c>
      <c r="K7" s="6">
        <v>26</v>
      </c>
      <c r="L7" s="6">
        <v>14</v>
      </c>
      <c r="M7" s="6">
        <v>10</v>
      </c>
      <c r="N7" s="6">
        <v>2</v>
      </c>
      <c r="O7" s="2">
        <f t="shared" si="3"/>
        <v>3.75</v>
      </c>
      <c r="P7" s="16">
        <f t="shared" si="4"/>
        <v>22.22222222222222</v>
      </c>
      <c r="Q7" s="9">
        <f t="shared" si="5"/>
        <v>20</v>
      </c>
      <c r="R7" s="29">
        <f t="shared" si="6"/>
        <v>15</v>
      </c>
      <c r="S7" s="16">
        <f t="shared" si="7"/>
        <v>57.77777777777778</v>
      </c>
      <c r="T7" s="9">
        <f t="shared" si="8"/>
        <v>4.166666666666667</v>
      </c>
      <c r="U7" s="44">
        <f t="shared" si="9"/>
        <v>2</v>
      </c>
      <c r="V7" s="9">
        <f t="shared" si="10"/>
        <v>20</v>
      </c>
      <c r="W7" s="9">
        <f t="shared" si="11"/>
        <v>8</v>
      </c>
      <c r="X7" s="9">
        <f t="shared" si="12"/>
        <v>52</v>
      </c>
      <c r="Y7" s="9">
        <f t="shared" si="13"/>
        <v>4</v>
      </c>
      <c r="Z7">
        <f t="shared" si="14"/>
        <v>0</v>
      </c>
      <c r="AA7" s="2">
        <f t="shared" si="15"/>
        <v>6</v>
      </c>
      <c r="AB7" s="9" t="s">
        <v>1574</v>
      </c>
      <c r="AC7" s="9"/>
    </row>
    <row r="8" spans="1:29" ht="12.75">
      <c r="A8" s="9">
        <f t="shared" si="0"/>
        <v>760</v>
      </c>
      <c r="B8" s="6">
        <f>4*50</f>
        <v>200</v>
      </c>
      <c r="C8" s="2">
        <f t="shared" si="1"/>
        <v>7.054792421022392</v>
      </c>
      <c r="D8" s="2">
        <f t="shared" si="2"/>
        <v>0.4409245263138995</v>
      </c>
      <c r="E8" s="11" t="s">
        <v>1467</v>
      </c>
      <c r="F8" s="9">
        <v>50</v>
      </c>
      <c r="G8">
        <v>190</v>
      </c>
      <c r="H8">
        <v>6</v>
      </c>
      <c r="I8" s="10">
        <v>3</v>
      </c>
      <c r="J8" s="6">
        <v>0</v>
      </c>
      <c r="K8" s="6">
        <v>22</v>
      </c>
      <c r="L8" s="6">
        <v>17</v>
      </c>
      <c r="M8" s="6">
        <v>14</v>
      </c>
      <c r="N8" s="6">
        <v>0</v>
      </c>
      <c r="O8" s="2">
        <f t="shared" si="3"/>
        <v>3.8</v>
      </c>
      <c r="P8" s="16">
        <f t="shared" si="4"/>
        <v>29.473684210526315</v>
      </c>
      <c r="Q8" s="9">
        <f t="shared" si="5"/>
        <v>28.42105263157895</v>
      </c>
      <c r="R8" s="16">
        <f t="shared" si="6"/>
        <v>14.210526315789474</v>
      </c>
      <c r="S8" s="16">
        <f t="shared" si="7"/>
        <v>46.31578947368421</v>
      </c>
      <c r="T8" s="42">
        <f t="shared" si="8"/>
        <v>0</v>
      </c>
      <c r="U8" s="44">
        <f t="shared" si="9"/>
        <v>4</v>
      </c>
      <c r="V8" s="9">
        <f t="shared" si="10"/>
        <v>56</v>
      </c>
      <c r="W8" s="9">
        <f t="shared" si="11"/>
        <v>24</v>
      </c>
      <c r="X8" s="9">
        <f t="shared" si="12"/>
        <v>88</v>
      </c>
      <c r="Y8" s="9">
        <f t="shared" si="13"/>
        <v>0</v>
      </c>
      <c r="Z8">
        <f t="shared" si="14"/>
        <v>0</v>
      </c>
      <c r="AA8" s="2">
        <f t="shared" si="15"/>
        <v>12</v>
      </c>
      <c r="AB8" s="9" t="s">
        <v>1468</v>
      </c>
      <c r="AC8" s="9"/>
    </row>
    <row r="9" spans="1:29" ht="12.75">
      <c r="A9" s="9">
        <f t="shared" si="0"/>
        <v>630</v>
      </c>
      <c r="B9" s="6">
        <f>200-50</f>
        <v>150</v>
      </c>
      <c r="C9" s="2">
        <f t="shared" si="1"/>
        <v>5.291094315766794</v>
      </c>
      <c r="D9" s="2">
        <f t="shared" si="2"/>
        <v>0.33069339473542464</v>
      </c>
      <c r="E9" s="11" t="s">
        <v>517</v>
      </c>
      <c r="F9" s="9">
        <v>50</v>
      </c>
      <c r="G9">
        <v>210</v>
      </c>
      <c r="H9">
        <v>7</v>
      </c>
      <c r="I9" s="10">
        <v>2.5</v>
      </c>
      <c r="J9" s="6">
        <v>0</v>
      </c>
      <c r="K9" s="6">
        <v>23</v>
      </c>
      <c r="L9" s="6">
        <v>16</v>
      </c>
      <c r="M9" s="6">
        <v>15</v>
      </c>
      <c r="N9" s="6">
        <v>2</v>
      </c>
      <c r="O9" s="2">
        <f t="shared" si="3"/>
        <v>4.2</v>
      </c>
      <c r="P9" s="16">
        <f t="shared" si="4"/>
        <v>28.571428571428573</v>
      </c>
      <c r="Q9" s="9">
        <f t="shared" si="5"/>
        <v>30</v>
      </c>
      <c r="R9" s="16">
        <f t="shared" si="6"/>
        <v>10.714285714285714</v>
      </c>
      <c r="S9" s="16">
        <f t="shared" si="7"/>
        <v>43.80952380952381</v>
      </c>
      <c r="T9" s="42">
        <f t="shared" si="8"/>
        <v>4</v>
      </c>
      <c r="U9" s="44">
        <f t="shared" si="9"/>
        <v>3</v>
      </c>
      <c r="V9" s="9">
        <f t="shared" si="10"/>
        <v>45</v>
      </c>
      <c r="W9" s="9">
        <f t="shared" si="11"/>
        <v>21</v>
      </c>
      <c r="X9" s="9">
        <f t="shared" si="12"/>
        <v>69</v>
      </c>
      <c r="Y9" s="9">
        <f t="shared" si="13"/>
        <v>6</v>
      </c>
      <c r="Z9">
        <f t="shared" si="14"/>
        <v>0</v>
      </c>
      <c r="AA9" s="2">
        <f t="shared" si="15"/>
        <v>7.5</v>
      </c>
      <c r="AB9" s="9" t="s">
        <v>1468</v>
      </c>
      <c r="AC9" s="9"/>
    </row>
    <row r="10" spans="1:29" ht="12.75">
      <c r="A10" s="9">
        <f t="shared" si="0"/>
        <v>1715</v>
      </c>
      <c r="B10">
        <f>111+114+118</f>
        <v>343</v>
      </c>
      <c r="C10" s="2">
        <f t="shared" si="1"/>
        <v>12.098969002053403</v>
      </c>
      <c r="D10" s="2">
        <f t="shared" si="2"/>
        <v>0.7561855626283377</v>
      </c>
      <c r="E10" s="11" t="s">
        <v>45</v>
      </c>
      <c r="F10" s="9">
        <v>30</v>
      </c>
      <c r="G10">
        <v>150</v>
      </c>
      <c r="H10">
        <v>10</v>
      </c>
      <c r="I10" s="10">
        <v>1.5</v>
      </c>
      <c r="J10" s="6">
        <v>0</v>
      </c>
      <c r="K10" s="6">
        <v>13</v>
      </c>
      <c r="L10" s="6">
        <v>7</v>
      </c>
      <c r="M10" s="6">
        <v>4</v>
      </c>
      <c r="N10" s="6">
        <v>2</v>
      </c>
      <c r="O10" s="2">
        <f t="shared" si="3"/>
        <v>5</v>
      </c>
      <c r="P10" s="16">
        <f t="shared" si="4"/>
        <v>10.666666666666666</v>
      </c>
      <c r="Q10" s="9">
        <f t="shared" si="5"/>
        <v>60</v>
      </c>
      <c r="R10" s="16">
        <f t="shared" si="6"/>
        <v>9</v>
      </c>
      <c r="S10" s="16">
        <f>100*K10*4/G10</f>
        <v>34.666666666666664</v>
      </c>
      <c r="T10" s="9">
        <f t="shared" si="8"/>
        <v>6.666666666666667</v>
      </c>
      <c r="U10" s="44">
        <f t="shared" si="9"/>
        <v>11.433333333333334</v>
      </c>
      <c r="V10" s="16">
        <f t="shared" si="10"/>
        <v>45.733333333333334</v>
      </c>
      <c r="W10" s="9">
        <f t="shared" si="11"/>
        <v>114.33333333333334</v>
      </c>
      <c r="X10" s="9">
        <f t="shared" si="12"/>
        <v>148.63333333333333</v>
      </c>
      <c r="Y10" s="9">
        <f t="shared" si="13"/>
        <v>22.866666666666667</v>
      </c>
      <c r="Z10">
        <f t="shared" si="14"/>
        <v>0</v>
      </c>
      <c r="AA10" s="2">
        <f t="shared" si="15"/>
        <v>17.15</v>
      </c>
      <c r="AB10" s="9"/>
      <c r="AC10" s="9"/>
    </row>
    <row r="11" spans="1:29" ht="12.75">
      <c r="A11" s="9">
        <f t="shared" si="0"/>
        <v>1348.6666666666667</v>
      </c>
      <c r="B11">
        <f>79+79+80</f>
        <v>238</v>
      </c>
      <c r="C11" s="2">
        <f t="shared" si="1"/>
        <v>8.395202981016647</v>
      </c>
      <c r="D11" s="2">
        <f t="shared" si="2"/>
        <v>0.5247001863135404</v>
      </c>
      <c r="E11" s="11" t="s">
        <v>604</v>
      </c>
      <c r="F11" s="9">
        <v>30</v>
      </c>
      <c r="G11">
        <v>170</v>
      </c>
      <c r="H11">
        <v>15</v>
      </c>
      <c r="I11" s="10">
        <v>1</v>
      </c>
      <c r="J11">
        <v>0</v>
      </c>
      <c r="K11">
        <v>5</v>
      </c>
      <c r="L11">
        <v>1</v>
      </c>
      <c r="M11">
        <v>7</v>
      </c>
      <c r="N11">
        <v>4</v>
      </c>
      <c r="O11" s="2">
        <f t="shared" si="3"/>
        <v>5.666666666666667</v>
      </c>
      <c r="P11" s="9">
        <f t="shared" si="4"/>
        <v>16.470588235294116</v>
      </c>
      <c r="Q11" s="29">
        <f t="shared" si="5"/>
        <v>79.41176470588235</v>
      </c>
      <c r="R11" s="42">
        <f t="shared" si="6"/>
        <v>5.294117647058823</v>
      </c>
      <c r="S11" s="16">
        <f t="shared" si="7"/>
        <v>11.764705882352942</v>
      </c>
      <c r="T11" s="29">
        <f t="shared" si="8"/>
        <v>13.333333333333334</v>
      </c>
      <c r="U11" s="44">
        <f t="shared" si="9"/>
        <v>7.933333333333334</v>
      </c>
      <c r="V11" s="9">
        <f t="shared" si="10"/>
        <v>55.53333333333333</v>
      </c>
      <c r="W11" s="9">
        <f t="shared" si="11"/>
        <v>119</v>
      </c>
      <c r="X11" s="9">
        <f t="shared" si="12"/>
        <v>39.66666666666667</v>
      </c>
      <c r="Y11" s="9">
        <f t="shared" si="13"/>
        <v>31.733333333333334</v>
      </c>
      <c r="Z11">
        <f t="shared" si="14"/>
        <v>0</v>
      </c>
      <c r="AA11" s="2">
        <f t="shared" si="15"/>
        <v>7.933333333333334</v>
      </c>
      <c r="AB11" s="9" t="s">
        <v>527</v>
      </c>
      <c r="AC11" s="9"/>
    </row>
    <row r="12" spans="1:29" ht="12.75">
      <c r="A12" s="9">
        <f t="shared" si="0"/>
        <v>220</v>
      </c>
      <c r="B12">
        <v>56</v>
      </c>
      <c r="C12" s="2">
        <f t="shared" si="1"/>
        <v>1.97534187788627</v>
      </c>
      <c r="D12" s="2">
        <f t="shared" si="2"/>
        <v>0.12345886736789187</v>
      </c>
      <c r="E12" s="11" t="s">
        <v>606</v>
      </c>
      <c r="F12">
        <v>56</v>
      </c>
      <c r="G12">
        <v>220</v>
      </c>
      <c r="H12">
        <v>6</v>
      </c>
      <c r="I12" s="10">
        <v>4</v>
      </c>
      <c r="J12">
        <v>2.5</v>
      </c>
      <c r="K12">
        <v>34</v>
      </c>
      <c r="L12">
        <v>13</v>
      </c>
      <c r="M12">
        <v>8</v>
      </c>
      <c r="N12">
        <v>2</v>
      </c>
      <c r="O12" s="2">
        <f t="shared" si="3"/>
        <v>3.9285714285714284</v>
      </c>
      <c r="P12" s="16">
        <f t="shared" si="4"/>
        <v>14.545454545454545</v>
      </c>
      <c r="Q12" s="9">
        <f t="shared" si="5"/>
        <v>24.545454545454547</v>
      </c>
      <c r="R12" s="29">
        <f t="shared" si="6"/>
        <v>16.363636363636363</v>
      </c>
      <c r="S12" s="16">
        <f t="shared" si="7"/>
        <v>61.81818181818182</v>
      </c>
      <c r="T12" s="16">
        <f t="shared" si="8"/>
        <v>3.5714285714285716</v>
      </c>
      <c r="U12" s="44">
        <f t="shared" si="9"/>
        <v>1</v>
      </c>
      <c r="V12" s="16">
        <f t="shared" si="10"/>
        <v>8</v>
      </c>
      <c r="W12" s="9">
        <f t="shared" si="11"/>
        <v>6</v>
      </c>
      <c r="X12" s="9">
        <f t="shared" si="12"/>
        <v>34</v>
      </c>
      <c r="Y12" s="16">
        <f t="shared" si="13"/>
        <v>2</v>
      </c>
      <c r="Z12">
        <f t="shared" si="14"/>
        <v>2.5</v>
      </c>
      <c r="AA12" s="2">
        <f t="shared" si="15"/>
        <v>4</v>
      </c>
      <c r="AB12" s="11"/>
      <c r="AC12" s="9"/>
    </row>
    <row r="13" spans="1:29" ht="12.75">
      <c r="A13" s="9">
        <f t="shared" si="0"/>
        <v>210</v>
      </c>
      <c r="B13">
        <v>60</v>
      </c>
      <c r="C13" s="2">
        <f t="shared" si="1"/>
        <v>2.116437726306718</v>
      </c>
      <c r="D13" s="2">
        <f t="shared" si="2"/>
        <v>0.13227735789416986</v>
      </c>
      <c r="E13" s="11" t="s">
        <v>861</v>
      </c>
      <c r="F13" s="9">
        <v>60</v>
      </c>
      <c r="G13">
        <v>210</v>
      </c>
      <c r="H13">
        <v>6</v>
      </c>
      <c r="I13" s="10">
        <v>4</v>
      </c>
      <c r="J13">
        <v>4</v>
      </c>
      <c r="K13">
        <v>24</v>
      </c>
      <c r="L13">
        <v>1</v>
      </c>
      <c r="M13">
        <v>21</v>
      </c>
      <c r="N13">
        <v>1</v>
      </c>
      <c r="O13" s="2">
        <f t="shared" si="3"/>
        <v>3.5</v>
      </c>
      <c r="P13" s="29">
        <f t="shared" si="4"/>
        <v>40</v>
      </c>
      <c r="Q13" s="9">
        <f t="shared" si="5"/>
        <v>25.714285714285715</v>
      </c>
      <c r="R13" s="29">
        <f t="shared" si="6"/>
        <v>17.142857142857142</v>
      </c>
      <c r="S13" s="16">
        <f t="shared" si="7"/>
        <v>45.714285714285715</v>
      </c>
      <c r="T13" s="16">
        <f t="shared" si="8"/>
        <v>1.6666666666666667</v>
      </c>
      <c r="U13" s="44">
        <f t="shared" si="9"/>
        <v>1</v>
      </c>
      <c r="V13" s="16">
        <f t="shared" si="10"/>
        <v>21</v>
      </c>
      <c r="W13" s="9">
        <f t="shared" si="11"/>
        <v>6</v>
      </c>
      <c r="X13" s="9">
        <f t="shared" si="12"/>
        <v>24</v>
      </c>
      <c r="Y13" s="16">
        <f t="shared" si="13"/>
        <v>1</v>
      </c>
      <c r="Z13">
        <f t="shared" si="14"/>
        <v>4</v>
      </c>
      <c r="AA13" s="2">
        <f t="shared" si="15"/>
        <v>4</v>
      </c>
      <c r="AB13" s="11" t="s">
        <v>862</v>
      </c>
      <c r="AC13" s="9"/>
    </row>
    <row r="14" spans="1:29" ht="12.75">
      <c r="A14" s="9">
        <f>G14*U14</f>
        <v>413.4146341463414</v>
      </c>
      <c r="B14" s="9">
        <v>113</v>
      </c>
      <c r="C14" s="2">
        <f t="shared" si="1"/>
        <v>3.9859577178776515</v>
      </c>
      <c r="D14" s="2">
        <f t="shared" si="2"/>
        <v>0.24912235736735322</v>
      </c>
      <c r="E14" s="11" t="s">
        <v>1274</v>
      </c>
      <c r="F14" s="9">
        <v>41</v>
      </c>
      <c r="G14">
        <v>150</v>
      </c>
      <c r="H14">
        <v>0</v>
      </c>
      <c r="I14" s="10">
        <v>0</v>
      </c>
      <c r="J14" s="6">
        <v>0</v>
      </c>
      <c r="K14" s="6">
        <v>37</v>
      </c>
      <c r="L14" s="6">
        <v>34</v>
      </c>
      <c r="M14" s="6">
        <v>0</v>
      </c>
      <c r="N14" s="6">
        <v>0</v>
      </c>
      <c r="O14" s="2">
        <f>G14/F14</f>
        <v>3.658536585365854</v>
      </c>
      <c r="P14" s="42">
        <f>100*4*M14/G14</f>
        <v>0</v>
      </c>
      <c r="Q14" s="9">
        <f>100*9*H14/G14</f>
        <v>0</v>
      </c>
      <c r="R14" s="42">
        <f>100*(I14*9)/G14</f>
        <v>0</v>
      </c>
      <c r="S14" s="29">
        <f>100*K14*4/G14</f>
        <v>98.66666666666667</v>
      </c>
      <c r="T14" s="42">
        <f>100*N14/F14</f>
        <v>0</v>
      </c>
      <c r="U14" s="44">
        <f>B14/F14</f>
        <v>2.7560975609756095</v>
      </c>
      <c r="V14" s="16">
        <f>U14*M14</f>
        <v>0</v>
      </c>
      <c r="W14" s="9">
        <f>U14*H14</f>
        <v>0</v>
      </c>
      <c r="X14" s="9">
        <f>U14*K14</f>
        <v>101.97560975609755</v>
      </c>
      <c r="Y14" s="9">
        <f>N14*U14</f>
        <v>0</v>
      </c>
      <c r="Z14">
        <f>U14*J14</f>
        <v>0</v>
      </c>
      <c r="AA14" s="2">
        <f>I14*U14</f>
        <v>0</v>
      </c>
      <c r="AB14" s="9" t="s">
        <v>2062</v>
      </c>
      <c r="AC14" s="9"/>
    </row>
    <row r="15" spans="1:29" ht="12.75">
      <c r="A15" s="9">
        <f t="shared" si="0"/>
        <v>404</v>
      </c>
      <c r="B15">
        <v>101</v>
      </c>
      <c r="C15" s="2">
        <f t="shared" si="1"/>
        <v>3.562670172616308</v>
      </c>
      <c r="D15" s="2">
        <f t="shared" si="2"/>
        <v>0.22266688578851926</v>
      </c>
      <c r="E15" s="11" t="s">
        <v>1678</v>
      </c>
      <c r="F15" s="9">
        <v>15</v>
      </c>
      <c r="G15">
        <v>60</v>
      </c>
      <c r="H15">
        <v>0</v>
      </c>
      <c r="I15" s="10">
        <v>0</v>
      </c>
      <c r="J15" s="6">
        <v>0</v>
      </c>
      <c r="K15" s="6">
        <v>14</v>
      </c>
      <c r="L15" s="6">
        <v>12</v>
      </c>
      <c r="M15" s="6">
        <v>0</v>
      </c>
      <c r="N15" s="6">
        <v>0</v>
      </c>
      <c r="O15" s="2">
        <f t="shared" si="3"/>
        <v>4</v>
      </c>
      <c r="P15" s="42">
        <f t="shared" si="4"/>
        <v>0</v>
      </c>
      <c r="Q15" s="9">
        <f t="shared" si="5"/>
        <v>0</v>
      </c>
      <c r="R15" s="42">
        <f t="shared" si="6"/>
        <v>0</v>
      </c>
      <c r="S15" s="29">
        <f t="shared" si="7"/>
        <v>93.33333333333333</v>
      </c>
      <c r="T15" s="42">
        <f t="shared" si="8"/>
        <v>0</v>
      </c>
      <c r="U15" s="44">
        <f t="shared" si="9"/>
        <v>6.733333333333333</v>
      </c>
      <c r="V15" s="16">
        <f t="shared" si="10"/>
        <v>0</v>
      </c>
      <c r="W15" s="9">
        <f t="shared" si="11"/>
        <v>0</v>
      </c>
      <c r="X15" s="9">
        <f t="shared" si="12"/>
        <v>94.26666666666667</v>
      </c>
      <c r="Y15" s="9">
        <f t="shared" si="13"/>
        <v>0</v>
      </c>
      <c r="Z15">
        <f t="shared" si="14"/>
        <v>0</v>
      </c>
      <c r="AA15" s="2">
        <f t="shared" si="15"/>
        <v>0</v>
      </c>
      <c r="AB15" s="9" t="s">
        <v>2062</v>
      </c>
      <c r="AC15" s="9"/>
    </row>
    <row r="16" spans="1:29" ht="12.75">
      <c r="A16" s="9">
        <f t="shared" si="0"/>
        <v>487.5</v>
      </c>
      <c r="B16">
        <f>130</f>
        <v>130</v>
      </c>
      <c r="C16" s="2">
        <f t="shared" si="1"/>
        <v>4.585615073664555</v>
      </c>
      <c r="D16" s="2">
        <f t="shared" si="2"/>
        <v>0.2866009421040347</v>
      </c>
      <c r="E16" s="11" t="s">
        <v>870</v>
      </c>
      <c r="F16" s="9">
        <v>16</v>
      </c>
      <c r="G16">
        <v>60</v>
      </c>
      <c r="H16">
        <v>0</v>
      </c>
      <c r="I16" s="10">
        <v>0</v>
      </c>
      <c r="J16" s="6">
        <v>0</v>
      </c>
      <c r="K16" s="6">
        <v>16</v>
      </c>
      <c r="L16" s="6">
        <v>10</v>
      </c>
      <c r="M16" s="6">
        <v>0</v>
      </c>
      <c r="N16" s="6">
        <v>0</v>
      </c>
      <c r="O16" s="2">
        <f t="shared" si="3"/>
        <v>3.75</v>
      </c>
      <c r="P16" s="42">
        <f t="shared" si="4"/>
        <v>0</v>
      </c>
      <c r="Q16" s="9">
        <f t="shared" si="5"/>
        <v>0</v>
      </c>
      <c r="R16" s="42">
        <f t="shared" si="6"/>
        <v>0</v>
      </c>
      <c r="S16" s="29">
        <f t="shared" si="7"/>
        <v>106.66666666666667</v>
      </c>
      <c r="T16" s="42">
        <f t="shared" si="8"/>
        <v>0</v>
      </c>
      <c r="U16" s="44">
        <f t="shared" si="9"/>
        <v>8.125</v>
      </c>
      <c r="V16" s="16">
        <f t="shared" si="10"/>
        <v>0</v>
      </c>
      <c r="W16" s="9">
        <f t="shared" si="11"/>
        <v>0</v>
      </c>
      <c r="X16" s="9">
        <f t="shared" si="12"/>
        <v>130</v>
      </c>
      <c r="Y16" s="9">
        <f t="shared" si="13"/>
        <v>0</v>
      </c>
      <c r="Z16">
        <f t="shared" si="14"/>
        <v>0</v>
      </c>
      <c r="AA16" s="2">
        <f t="shared" si="15"/>
        <v>0</v>
      </c>
      <c r="AB16" s="9" t="s">
        <v>2062</v>
      </c>
      <c r="AC16" s="9"/>
    </row>
    <row r="17" spans="1:29" ht="12.75">
      <c r="A17" s="9">
        <v>240</v>
      </c>
      <c r="B17" s="9">
        <f>C17*28.349523</f>
        <v>907.184736</v>
      </c>
      <c r="C17" s="2">
        <v>32</v>
      </c>
      <c r="D17" s="2">
        <f t="shared" si="2"/>
        <v>2</v>
      </c>
      <c r="E17" s="11" t="s">
        <v>434</v>
      </c>
      <c r="G17" s="6"/>
      <c r="I17" s="10"/>
      <c r="O17" s="2"/>
      <c r="P17" s="42"/>
      <c r="Q17" s="29"/>
      <c r="R17" s="29"/>
      <c r="S17" s="16"/>
      <c r="T17" s="9"/>
      <c r="U17" s="44"/>
      <c r="V17" s="9">
        <v>0</v>
      </c>
      <c r="W17" s="9">
        <v>0</v>
      </c>
      <c r="X17" s="9">
        <v>127.2</v>
      </c>
      <c r="Y17" s="9">
        <v>0</v>
      </c>
      <c r="Z17" s="9">
        <v>0</v>
      </c>
      <c r="AA17" s="2">
        <v>0</v>
      </c>
      <c r="AC17" s="9"/>
    </row>
    <row r="18" spans="1:29" ht="12.75">
      <c r="A18" s="9">
        <f>G18*U18</f>
        <v>390</v>
      </c>
      <c r="B18">
        <v>104</v>
      </c>
      <c r="C18" s="2">
        <f t="shared" si="1"/>
        <v>3.668492058931644</v>
      </c>
      <c r="D18" s="2">
        <f t="shared" si="2"/>
        <v>0.22928075368322776</v>
      </c>
      <c r="E18" s="11" t="s">
        <v>395</v>
      </c>
      <c r="F18" s="9">
        <v>16</v>
      </c>
      <c r="G18">
        <v>60</v>
      </c>
      <c r="H18">
        <v>0</v>
      </c>
      <c r="I18" s="10">
        <v>0</v>
      </c>
      <c r="J18" s="6">
        <v>0</v>
      </c>
      <c r="K18" s="6">
        <v>15.9</v>
      </c>
      <c r="L18" s="6">
        <v>15</v>
      </c>
      <c r="M18" s="6">
        <v>0</v>
      </c>
      <c r="N18" s="6">
        <v>0</v>
      </c>
      <c r="O18" s="2">
        <f>G18/F18</f>
        <v>3.75</v>
      </c>
      <c r="P18" s="42">
        <f>100*4*M18/G18</f>
        <v>0</v>
      </c>
      <c r="Q18" s="9">
        <f>100*9*H18/G18</f>
        <v>0</v>
      </c>
      <c r="R18" s="42">
        <f>100*(I18*9)/G18</f>
        <v>0</v>
      </c>
      <c r="S18" s="29">
        <f>100*K18*4/G18</f>
        <v>106</v>
      </c>
      <c r="T18" s="42">
        <f>100*N18/F18</f>
        <v>0</v>
      </c>
      <c r="U18" s="44">
        <f>B18/F18</f>
        <v>6.5</v>
      </c>
      <c r="V18" s="16">
        <f>U18*M18</f>
        <v>0</v>
      </c>
      <c r="W18" s="9">
        <f>U18*H18</f>
        <v>0</v>
      </c>
      <c r="X18" s="141">
        <f>U18*K18</f>
        <v>103.35000000000001</v>
      </c>
      <c r="Y18" s="9">
        <f>N18*U18</f>
        <v>0</v>
      </c>
      <c r="Z18">
        <f>U18*J18</f>
        <v>0</v>
      </c>
      <c r="AA18" s="2">
        <f>I18*U18</f>
        <v>0</v>
      </c>
      <c r="AB18" s="9" t="s">
        <v>249</v>
      </c>
      <c r="AC18" s="9"/>
    </row>
    <row r="19" spans="1:29" ht="12.75">
      <c r="A19" s="9">
        <f>G19*U19</f>
        <v>317.6470588235294</v>
      </c>
      <c r="B19">
        <v>90</v>
      </c>
      <c r="C19" s="2">
        <f t="shared" si="1"/>
        <v>3.1746565894600765</v>
      </c>
      <c r="D19" s="2">
        <f t="shared" si="2"/>
        <v>0.19841603684125478</v>
      </c>
      <c r="E19" s="11" t="s">
        <v>1628</v>
      </c>
      <c r="F19" s="9">
        <v>17</v>
      </c>
      <c r="G19">
        <v>60</v>
      </c>
      <c r="H19">
        <v>0</v>
      </c>
      <c r="I19" s="10">
        <v>0</v>
      </c>
      <c r="J19" s="6">
        <v>0</v>
      </c>
      <c r="K19" s="6">
        <v>15.9</v>
      </c>
      <c r="L19" s="6">
        <v>16</v>
      </c>
      <c r="M19" s="6">
        <v>0</v>
      </c>
      <c r="N19" s="6">
        <v>0</v>
      </c>
      <c r="O19" s="2">
        <f>G19/F19</f>
        <v>3.5294117647058822</v>
      </c>
      <c r="P19" s="42">
        <f>100*4*M19/G19</f>
        <v>0</v>
      </c>
      <c r="Q19" s="9">
        <f>100*9*H19/G19</f>
        <v>0</v>
      </c>
      <c r="R19" s="42">
        <f>100*(I19*9)/G19</f>
        <v>0</v>
      </c>
      <c r="S19" s="29">
        <f>100*K19*4/G19</f>
        <v>106</v>
      </c>
      <c r="T19" s="42">
        <f>100*N19/F19</f>
        <v>0</v>
      </c>
      <c r="U19" s="44">
        <f>B19/F19</f>
        <v>5.294117647058823</v>
      </c>
      <c r="V19" s="16">
        <f>U19*M19</f>
        <v>0</v>
      </c>
      <c r="W19" s="9">
        <f>U19*H19</f>
        <v>0</v>
      </c>
      <c r="X19" s="141">
        <f>U19*K19</f>
        <v>84.17647058823529</v>
      </c>
      <c r="Y19" s="9">
        <f>N19*U19</f>
        <v>0</v>
      </c>
      <c r="Z19">
        <f>U19*J19</f>
        <v>0</v>
      </c>
      <c r="AA19" s="2">
        <f>I19*U19</f>
        <v>0</v>
      </c>
      <c r="AB19" s="9" t="s">
        <v>249</v>
      </c>
      <c r="AC19" s="9"/>
    </row>
    <row r="20" spans="1:29" ht="12.75">
      <c r="A20" s="9">
        <f>G20*U20</f>
        <v>1178</v>
      </c>
      <c r="B20">
        <f>66+60+60</f>
        <v>186</v>
      </c>
      <c r="C20" s="2">
        <f t="shared" si="1"/>
        <v>6.560956951550825</v>
      </c>
      <c r="D20" s="2">
        <f t="shared" si="2"/>
        <v>0.41005980947192655</v>
      </c>
      <c r="E20" s="11" t="s">
        <v>1848</v>
      </c>
      <c r="F20" s="9">
        <v>30</v>
      </c>
      <c r="G20">
        <v>190</v>
      </c>
      <c r="H20">
        <v>15</v>
      </c>
      <c r="I20" s="10">
        <v>4</v>
      </c>
      <c r="J20">
        <v>0</v>
      </c>
      <c r="K20">
        <v>9</v>
      </c>
      <c r="L20">
        <v>1</v>
      </c>
      <c r="M20">
        <v>4</v>
      </c>
      <c r="N20">
        <v>4</v>
      </c>
      <c r="O20" s="32">
        <f>G20/F20</f>
        <v>6.333333333333333</v>
      </c>
      <c r="P20" s="42">
        <f>100*4*M20/G20</f>
        <v>8.421052631578947</v>
      </c>
      <c r="Q20" s="29">
        <f>100*9*H20/G20</f>
        <v>71.05263157894737</v>
      </c>
      <c r="R20" s="29">
        <f>100*(I20*9)/G20</f>
        <v>18.94736842105263</v>
      </c>
      <c r="S20" s="16">
        <f>100*K20*4/G20</f>
        <v>18.94736842105263</v>
      </c>
      <c r="T20" s="29">
        <f>100*N20/F20</f>
        <v>13.333333333333334</v>
      </c>
      <c r="U20" s="44">
        <f>B20/F20</f>
        <v>6.2</v>
      </c>
      <c r="V20" s="9">
        <f>U20*M20</f>
        <v>24.8</v>
      </c>
      <c r="W20" s="9">
        <f>U20*H20</f>
        <v>93</v>
      </c>
      <c r="X20" s="9">
        <f>U20*K20</f>
        <v>55.800000000000004</v>
      </c>
      <c r="Y20" s="9">
        <f>N20*U20</f>
        <v>24.8</v>
      </c>
      <c r="Z20">
        <f>U20*J20</f>
        <v>0</v>
      </c>
      <c r="AA20" s="2">
        <f>I20*U20</f>
        <v>24.8</v>
      </c>
      <c r="AB20" s="9" t="s">
        <v>1593</v>
      </c>
      <c r="AC20" s="9"/>
    </row>
    <row r="21" spans="1:27" ht="12.75">
      <c r="A21" s="9">
        <f>SUM(A2:A20)</f>
        <v>11064.228359636538</v>
      </c>
      <c r="B21" s="9">
        <f>SUM(B2:B20)</f>
        <v>3361.184736</v>
      </c>
      <c r="C21" s="9">
        <f t="shared" si="1"/>
        <v>118.56230300594476</v>
      </c>
      <c r="D21" s="2">
        <f t="shared" si="2"/>
        <v>7.410143937871547</v>
      </c>
      <c r="E21" s="11" t="s">
        <v>1507</v>
      </c>
      <c r="J21" s="3"/>
      <c r="K21" s="3"/>
      <c r="L21" s="3"/>
      <c r="M21" s="9"/>
      <c r="O21" s="3"/>
      <c r="V21" s="144">
        <f aca="true" t="shared" si="16" ref="V21:AA21">SUM(V2:V20)</f>
        <v>405.06666666666666</v>
      </c>
      <c r="W21" s="144">
        <f t="shared" si="16"/>
        <v>457.83333333333337</v>
      </c>
      <c r="X21" s="144">
        <f t="shared" si="16"/>
        <v>1483.0687470109995</v>
      </c>
      <c r="Y21" s="9">
        <f t="shared" si="16"/>
        <v>99.39999999999999</v>
      </c>
      <c r="Z21" s="144">
        <f t="shared" si="16"/>
        <v>49</v>
      </c>
      <c r="AA21" s="9">
        <f t="shared" si="16"/>
        <v>114.88333333333334</v>
      </c>
    </row>
    <row r="22" spans="3:28" ht="12.75">
      <c r="C22" s="2"/>
      <c r="D22" s="2"/>
      <c r="E22" s="12"/>
      <c r="F22">
        <v>2.9</v>
      </c>
      <c r="G22" t="s">
        <v>534</v>
      </c>
      <c r="I22" s="143">
        <f>A21/F22</f>
        <v>3815.251158495358</v>
      </c>
      <c r="J22" t="s">
        <v>536</v>
      </c>
      <c r="L22" s="144">
        <f>V21/F22</f>
        <v>139.67816091954023</v>
      </c>
      <c r="M22" s="33" t="s">
        <v>1675</v>
      </c>
      <c r="P22">
        <f>Y21/F22</f>
        <v>34.275862068965516</v>
      </c>
      <c r="Q22" s="33" t="s">
        <v>1676</v>
      </c>
      <c r="V22" s="35">
        <f>4*V21</f>
        <v>1620.2666666666667</v>
      </c>
      <c r="W22" s="48">
        <f>9*W21</f>
        <v>4120.5</v>
      </c>
      <c r="X22" s="146">
        <f>4*X21</f>
        <v>5932.274988043998</v>
      </c>
      <c r="AA22" s="35">
        <f>9*AA21</f>
        <v>1033.95</v>
      </c>
      <c r="AB22" t="s">
        <v>697</v>
      </c>
    </row>
    <row r="23" spans="2:28" ht="12.75">
      <c r="B23" s="9"/>
      <c r="C23" s="2"/>
      <c r="D23" s="2"/>
      <c r="E23" s="11"/>
      <c r="L23" s="109">
        <f>Z21/F22</f>
        <v>16.896551724137932</v>
      </c>
      <c r="M23" s="33" t="s">
        <v>605</v>
      </c>
      <c r="R23" s="144">
        <f>AA21/F22</f>
        <v>39.61494252873563</v>
      </c>
      <c r="S23" s="33" t="s">
        <v>1677</v>
      </c>
      <c r="V23" s="9">
        <f>V22*100/A21</f>
        <v>14.644190394493021</v>
      </c>
      <c r="W23" s="9">
        <f>100*W22/A21</f>
        <v>37.24163914613345</v>
      </c>
      <c r="X23" s="9">
        <f>X22*100/A21</f>
        <v>53.61670778312527</v>
      </c>
      <c r="Y23" s="145">
        <f>100*Y21/A21</f>
        <v>0.898390712565384</v>
      </c>
      <c r="AA23" s="2">
        <f>100*AA22/A21</f>
        <v>9.344980656508842</v>
      </c>
      <c r="AB23" t="s">
        <v>1786</v>
      </c>
    </row>
    <row r="24" spans="2:11" ht="12.75">
      <c r="B24" s="9"/>
      <c r="C24" s="2"/>
      <c r="D24" s="2"/>
      <c r="E24" s="12"/>
      <c r="K24" s="33" t="s">
        <v>587</v>
      </c>
    </row>
    <row r="25" spans="1:12" ht="12.75">
      <c r="A25" s="93">
        <f>F22*3800</f>
        <v>11020</v>
      </c>
      <c r="B25" s="93"/>
      <c r="C25" s="94"/>
      <c r="D25" s="94"/>
      <c r="E25" s="126" t="s">
        <v>1917</v>
      </c>
      <c r="L25" t="s">
        <v>602</v>
      </c>
    </row>
    <row r="26" spans="1:12" ht="12.75">
      <c r="A26" s="93">
        <f>A25-A21</f>
        <v>-44.22835963653779</v>
      </c>
      <c r="B26" s="93"/>
      <c r="C26" s="93"/>
      <c r="D26" s="92"/>
      <c r="E26" s="92" t="s">
        <v>1497</v>
      </c>
      <c r="L26" s="6" t="s">
        <v>600</v>
      </c>
    </row>
    <row r="27" ht="12.75">
      <c r="L27" t="s">
        <v>601</v>
      </c>
    </row>
    <row r="28" spans="2:12" ht="12.75">
      <c r="B28" s="9">
        <v>3645</v>
      </c>
      <c r="C28" s="9">
        <f>B28/28.349523</f>
        <v>128.5735918731331</v>
      </c>
      <c r="D28" s="2">
        <f>C28/16</f>
        <v>8.035849492070819</v>
      </c>
      <c r="E28" s="11" t="s">
        <v>50</v>
      </c>
      <c r="L28" s="27" t="s">
        <v>603</v>
      </c>
    </row>
    <row r="29" spans="2:29" ht="12.75">
      <c r="B29" s="9">
        <v>1071</v>
      </c>
      <c r="E29" s="11" t="s">
        <v>47</v>
      </c>
      <c r="F29" s="9"/>
      <c r="I29" s="10"/>
      <c r="J29" s="6"/>
      <c r="K29" s="6"/>
      <c r="L29" s="6"/>
      <c r="M29" s="6"/>
      <c r="N29" s="6"/>
      <c r="O29" s="2"/>
      <c r="P29" s="16"/>
      <c r="Q29" s="9"/>
      <c r="R29" s="29"/>
      <c r="S29" s="93"/>
      <c r="T29" s="92"/>
      <c r="U29" s="94"/>
      <c r="V29" s="92"/>
      <c r="W29" s="92"/>
      <c r="X29" s="93"/>
      <c r="Y29" s="93"/>
      <c r="AA29" s="2"/>
      <c r="AB29" s="173"/>
      <c r="AC29" s="9"/>
    </row>
    <row r="30" spans="2:29" ht="12.75">
      <c r="B30" s="9">
        <f>B28-B29+B17</f>
        <v>3481.184736</v>
      </c>
      <c r="C30" s="9">
        <f>B30/28.349523</f>
        <v>122.7951784585582</v>
      </c>
      <c r="D30" s="2">
        <f>C30/16</f>
        <v>7.674698653659887</v>
      </c>
      <c r="E30" s="11" t="s">
        <v>48</v>
      </c>
      <c r="F30" s="9"/>
      <c r="I30" s="10"/>
      <c r="J30" s="6"/>
      <c r="K30" s="6"/>
      <c r="L30" s="6"/>
      <c r="M30" s="6"/>
      <c r="N30" s="6"/>
      <c r="O30" s="2"/>
      <c r="P30" s="16"/>
      <c r="Q30" s="9"/>
      <c r="R30" s="42"/>
      <c r="S30" s="93"/>
      <c r="T30" s="93"/>
      <c r="U30" s="93"/>
      <c r="V30" s="94"/>
      <c r="W30" s="126"/>
      <c r="X30" s="93"/>
      <c r="Y30" s="93"/>
      <c r="AA30" s="2"/>
      <c r="AB30" s="8"/>
      <c r="AC30" s="9"/>
    </row>
    <row r="31" spans="2:29" ht="12.75">
      <c r="B31" s="9">
        <f>B30-B21</f>
        <v>120</v>
      </c>
      <c r="C31" s="9"/>
      <c r="D31" s="9"/>
      <c r="E31" s="152" t="s">
        <v>49</v>
      </c>
      <c r="F31" s="9"/>
      <c r="I31" s="10"/>
      <c r="J31" s="6"/>
      <c r="K31" s="6"/>
      <c r="L31" s="6"/>
      <c r="M31" s="6"/>
      <c r="N31" s="6"/>
      <c r="O31" s="2"/>
      <c r="P31" s="16"/>
      <c r="Q31" s="9"/>
      <c r="R31" s="16"/>
      <c r="S31" s="16"/>
      <c r="T31" s="42"/>
      <c r="U31" s="60"/>
      <c r="V31" s="9"/>
      <c r="W31" s="9"/>
      <c r="X31" s="9"/>
      <c r="Y31" s="9"/>
      <c r="AA31" s="2"/>
      <c r="AB31" s="9"/>
      <c r="AC31" s="9"/>
    </row>
    <row r="32" spans="1:29" ht="12.75">
      <c r="A32" s="9"/>
      <c r="B32" s="150"/>
      <c r="C32" s="2"/>
      <c r="D32" s="2"/>
      <c r="E32" s="152"/>
      <c r="F32" s="9"/>
      <c r="I32" s="10"/>
      <c r="O32" s="2"/>
      <c r="P32" s="9"/>
      <c r="Q32" s="42"/>
      <c r="R32" s="42"/>
      <c r="S32" s="29"/>
      <c r="T32" s="29"/>
      <c r="U32" s="60"/>
      <c r="V32" s="9"/>
      <c r="W32" s="9"/>
      <c r="X32" s="9"/>
      <c r="Y32" s="9"/>
      <c r="AA32" s="2"/>
      <c r="AB32" s="9"/>
      <c r="AC32" s="9"/>
    </row>
    <row r="33" spans="1:29" ht="12.75">
      <c r="A33" s="9"/>
      <c r="B33" s="9"/>
      <c r="C33" s="9"/>
      <c r="D33" s="2"/>
      <c r="E33" s="152"/>
      <c r="F33" s="9"/>
      <c r="I33" s="10"/>
      <c r="N33" s="109"/>
      <c r="O33" s="2"/>
      <c r="P33" s="9"/>
      <c r="Q33" s="9"/>
      <c r="R33" s="42"/>
      <c r="S33" s="46"/>
      <c r="T33" s="29"/>
      <c r="U33" s="60"/>
      <c r="V33" s="9"/>
      <c r="W33" s="9"/>
      <c r="X33" s="9"/>
      <c r="Y33" s="9"/>
      <c r="AA33" s="2"/>
      <c r="AB33" s="9"/>
      <c r="AC33" s="9"/>
    </row>
    <row r="34" spans="1:29" ht="12.75">
      <c r="A34" s="9"/>
      <c r="B34" s="9"/>
      <c r="C34" s="9"/>
      <c r="D34" s="2"/>
      <c r="E34" s="152"/>
      <c r="F34" s="9"/>
      <c r="I34" s="10"/>
      <c r="O34" s="2"/>
      <c r="P34" s="9"/>
      <c r="Q34" s="9"/>
      <c r="R34" s="16"/>
      <c r="S34" s="16"/>
      <c r="T34" s="9"/>
      <c r="U34" s="60"/>
      <c r="V34" s="9"/>
      <c r="W34" s="9"/>
      <c r="X34" s="9"/>
      <c r="Y34" s="9"/>
      <c r="AA34" s="2"/>
      <c r="AB34" s="9"/>
      <c r="AC34" s="9"/>
    </row>
    <row r="35" spans="1:29" ht="12.75">
      <c r="A35" s="9"/>
      <c r="C35" s="2"/>
      <c r="D35" s="2"/>
      <c r="E35" s="11"/>
      <c r="I35" s="10"/>
      <c r="O35" s="2"/>
      <c r="Q35" s="9"/>
      <c r="R35" s="16"/>
      <c r="S35" s="16"/>
      <c r="T35" s="16"/>
      <c r="U35" s="60"/>
      <c r="V35" s="16"/>
      <c r="W35" s="9"/>
      <c r="X35" s="9"/>
      <c r="Y35" s="16"/>
      <c r="AA35" s="2"/>
      <c r="AB35" s="10"/>
      <c r="AC35" s="9"/>
    </row>
    <row r="36" spans="1:29" ht="12.75">
      <c r="A36" s="9"/>
      <c r="C36" s="2"/>
      <c r="D36" s="2"/>
      <c r="E36" s="11"/>
      <c r="F36" s="9"/>
      <c r="I36" s="10"/>
      <c r="O36" s="2"/>
      <c r="Q36" s="9"/>
      <c r="R36" s="29"/>
      <c r="S36" s="16"/>
      <c r="T36" s="29"/>
      <c r="U36" s="60"/>
      <c r="V36" s="16"/>
      <c r="W36" s="9"/>
      <c r="X36" s="9"/>
      <c r="Y36" s="16"/>
      <c r="AA36" s="2"/>
      <c r="AB36" s="32"/>
      <c r="AC36" s="9"/>
    </row>
    <row r="37" spans="1:29" ht="12.75">
      <c r="A37" s="9"/>
      <c r="C37" s="2"/>
      <c r="D37" s="2"/>
      <c r="E37" s="11"/>
      <c r="F37" s="9"/>
      <c r="I37" s="10"/>
      <c r="O37" s="2"/>
      <c r="P37" s="29"/>
      <c r="Q37" s="9"/>
      <c r="R37" s="29"/>
      <c r="S37" s="16"/>
      <c r="T37" s="16"/>
      <c r="U37" s="60"/>
      <c r="V37" s="16"/>
      <c r="W37" s="9"/>
      <c r="X37" s="9"/>
      <c r="Y37" s="16"/>
      <c r="AA37" s="2"/>
      <c r="AB37" s="11"/>
      <c r="AC37" s="9"/>
    </row>
    <row r="38" spans="1:29" ht="12.75">
      <c r="A38" s="9"/>
      <c r="C38" s="2"/>
      <c r="D38" s="2"/>
      <c r="E38" s="11"/>
      <c r="F38" s="9"/>
      <c r="I38" s="10"/>
      <c r="O38" s="2"/>
      <c r="P38" s="29"/>
      <c r="Q38" s="9"/>
      <c r="R38" s="16"/>
      <c r="S38" s="16"/>
      <c r="T38" s="16"/>
      <c r="U38" s="60"/>
      <c r="V38" s="16"/>
      <c r="W38" s="9"/>
      <c r="X38" s="9"/>
      <c r="Y38" s="16"/>
      <c r="AA38" s="2"/>
      <c r="AB38" s="11"/>
      <c r="AC38" s="9"/>
    </row>
    <row r="39" spans="1:29" ht="12.75">
      <c r="A39" s="9"/>
      <c r="B39" s="6"/>
      <c r="C39" s="2"/>
      <c r="D39" s="2"/>
      <c r="E39" s="11"/>
      <c r="F39" s="9"/>
      <c r="I39" s="6"/>
      <c r="O39" s="2"/>
      <c r="P39" s="42"/>
      <c r="Q39" s="9"/>
      <c r="R39" s="16"/>
      <c r="S39" s="29"/>
      <c r="T39" s="42"/>
      <c r="U39" s="60"/>
      <c r="V39" s="9"/>
      <c r="W39" s="9"/>
      <c r="X39" s="9"/>
      <c r="Y39" s="16"/>
      <c r="AA39" s="2"/>
      <c r="AB39" s="9"/>
      <c r="AC39" s="9"/>
    </row>
    <row r="40" spans="1:29" ht="12.75">
      <c r="A40" s="9"/>
      <c r="C40" s="2"/>
      <c r="D40" s="2"/>
      <c r="E40" s="11"/>
      <c r="F40" s="9"/>
      <c r="I40" s="10"/>
      <c r="O40" s="2"/>
      <c r="P40" s="42"/>
      <c r="Q40" s="9"/>
      <c r="R40" s="42"/>
      <c r="S40" s="29"/>
      <c r="T40" s="42"/>
      <c r="U40" s="60"/>
      <c r="V40" s="9"/>
      <c r="W40" s="9"/>
      <c r="X40" s="9"/>
      <c r="Y40" s="9"/>
      <c r="AA40" s="2"/>
      <c r="AB40" s="9"/>
      <c r="AC40" s="9"/>
    </row>
    <row r="41" spans="1:29" ht="12.75">
      <c r="A41" s="9"/>
      <c r="C41" s="2"/>
      <c r="D41" s="2"/>
      <c r="E41" s="11"/>
      <c r="F41" s="9"/>
      <c r="I41" s="10"/>
      <c r="O41" s="2"/>
      <c r="P41" s="29"/>
      <c r="Q41" s="9"/>
      <c r="R41" s="29"/>
      <c r="S41" s="16"/>
      <c r="T41" s="9"/>
      <c r="U41" s="60"/>
      <c r="V41" s="16"/>
      <c r="W41" s="9"/>
      <c r="X41" s="9"/>
      <c r="Y41" s="16"/>
      <c r="AA41" s="2"/>
      <c r="AB41" s="11"/>
      <c r="AC41" s="9"/>
    </row>
    <row r="42" spans="1:29" ht="12.75">
      <c r="A42" s="9"/>
      <c r="C42" s="2"/>
      <c r="D42" s="2"/>
      <c r="E42" s="11"/>
      <c r="F42" s="9"/>
      <c r="I42" s="10"/>
      <c r="O42" s="2"/>
      <c r="P42" s="16"/>
      <c r="Q42" s="9"/>
      <c r="R42" s="29"/>
      <c r="S42" s="16"/>
      <c r="T42" s="9"/>
      <c r="U42" s="60"/>
      <c r="V42" s="16"/>
      <c r="W42" s="9"/>
      <c r="X42" s="9"/>
      <c r="Y42" s="16"/>
      <c r="AA42" s="2"/>
      <c r="AB42" s="11"/>
      <c r="AC42" s="9"/>
    </row>
    <row r="43" spans="1:29" ht="12.75">
      <c r="A43" s="9"/>
      <c r="C43" s="2"/>
      <c r="D43" s="2"/>
      <c r="E43" s="11"/>
      <c r="F43" s="9"/>
      <c r="I43" s="10"/>
      <c r="O43" s="2"/>
      <c r="P43" s="29"/>
      <c r="Q43" s="9"/>
      <c r="R43" s="16"/>
      <c r="S43" s="16"/>
      <c r="T43" s="9"/>
      <c r="U43" s="60"/>
      <c r="V43" s="9"/>
      <c r="W43" s="9"/>
      <c r="X43" s="9"/>
      <c r="Y43" s="9"/>
      <c r="AA43" s="2"/>
      <c r="AB43" s="9"/>
      <c r="AC43" s="9"/>
    </row>
    <row r="44" spans="1:29" ht="12.75">
      <c r="A44" s="9"/>
      <c r="C44" s="2"/>
      <c r="D44" s="2"/>
      <c r="E44" s="11"/>
      <c r="F44" s="9"/>
      <c r="I44" s="10"/>
      <c r="O44" s="2"/>
      <c r="P44" s="29"/>
      <c r="Q44" s="9"/>
      <c r="R44" s="16"/>
      <c r="S44" s="16"/>
      <c r="T44" s="29"/>
      <c r="U44" s="60"/>
      <c r="V44" s="9"/>
      <c r="W44" s="9"/>
      <c r="X44" s="9"/>
      <c r="Y44" s="9"/>
      <c r="AA44" s="2"/>
      <c r="AB44" s="9"/>
      <c r="AC44" s="9"/>
    </row>
    <row r="45" spans="1:29" ht="12.75">
      <c r="A45" s="9"/>
      <c r="C45" s="2"/>
      <c r="D45" s="2"/>
      <c r="E45" s="11"/>
      <c r="F45" s="9"/>
      <c r="I45" s="10"/>
      <c r="O45" s="2"/>
      <c r="P45" s="42"/>
      <c r="Q45" s="9"/>
      <c r="R45" s="16"/>
      <c r="S45" s="16"/>
      <c r="T45" s="9"/>
      <c r="U45" s="60"/>
      <c r="V45" s="9"/>
      <c r="W45" s="9"/>
      <c r="X45" s="9"/>
      <c r="Y45" s="9"/>
      <c r="AA45" s="2"/>
      <c r="AB45" s="9"/>
      <c r="AC45" s="9"/>
    </row>
    <row r="46" spans="1:29" ht="12.75">
      <c r="A46" s="9"/>
      <c r="C46" s="2"/>
      <c r="D46" s="2"/>
      <c r="E46" s="11"/>
      <c r="F46" s="9"/>
      <c r="I46" s="10"/>
      <c r="O46" s="2"/>
      <c r="P46" s="42"/>
      <c r="Q46" s="9"/>
      <c r="R46" s="16"/>
      <c r="S46" s="16"/>
      <c r="T46" s="9"/>
      <c r="U46" s="60"/>
      <c r="V46" s="9"/>
      <c r="W46" s="9"/>
      <c r="X46" s="9"/>
      <c r="Y46" s="9"/>
      <c r="AA46" s="2"/>
      <c r="AB46" s="9"/>
      <c r="AC46" s="9"/>
    </row>
    <row r="47" spans="1:29" ht="12.75">
      <c r="A47" s="9"/>
      <c r="C47" s="2"/>
      <c r="D47" s="2"/>
      <c r="E47" s="11"/>
      <c r="F47" s="9"/>
      <c r="G47" s="33"/>
      <c r="I47" s="44"/>
      <c r="O47" s="2"/>
      <c r="P47" s="42"/>
      <c r="Q47" s="29"/>
      <c r="R47" s="29"/>
      <c r="S47" s="16"/>
      <c r="T47" s="9"/>
      <c r="U47" s="60"/>
      <c r="V47" s="9"/>
      <c r="W47" s="9"/>
      <c r="X47" s="9"/>
      <c r="Y47" s="9"/>
      <c r="AA47" s="2"/>
      <c r="AC47" s="9"/>
    </row>
    <row r="48" spans="1:29" ht="12.75">
      <c r="A48" s="9"/>
      <c r="C48" s="2"/>
      <c r="D48" s="2"/>
      <c r="E48" s="11"/>
      <c r="F48" s="9"/>
      <c r="G48" s="33"/>
      <c r="I48" s="10"/>
      <c r="O48" s="2"/>
      <c r="P48" s="42"/>
      <c r="Q48" s="9"/>
      <c r="R48" s="29"/>
      <c r="S48" s="16"/>
      <c r="T48" s="9"/>
      <c r="U48" s="60"/>
      <c r="V48" s="9"/>
      <c r="W48" s="9"/>
      <c r="X48" s="9"/>
      <c r="Y48" s="9"/>
      <c r="AA48" s="2"/>
      <c r="AC48" s="9"/>
    </row>
    <row r="49" spans="1:29" ht="12.75">
      <c r="A49" s="9"/>
      <c r="C49" s="2"/>
      <c r="D49" s="2"/>
      <c r="E49" s="11"/>
      <c r="F49" s="9"/>
      <c r="I49" s="10"/>
      <c r="O49" s="2"/>
      <c r="P49" s="42"/>
      <c r="Q49" s="9"/>
      <c r="R49" s="29"/>
      <c r="S49" s="16"/>
      <c r="T49" s="42"/>
      <c r="U49" s="60"/>
      <c r="V49" s="9"/>
      <c r="W49" s="9"/>
      <c r="X49" s="9"/>
      <c r="Y49" s="9"/>
      <c r="AA49" s="2"/>
      <c r="AC49" s="9"/>
    </row>
    <row r="50" spans="1:29" ht="12.75">
      <c r="A50" s="9"/>
      <c r="C50" s="2"/>
      <c r="D50" s="2"/>
      <c r="E50" s="11"/>
      <c r="F50" s="9"/>
      <c r="I50" s="16"/>
      <c r="O50" s="32"/>
      <c r="P50" s="42"/>
      <c r="Q50" s="9"/>
      <c r="R50" s="29"/>
      <c r="S50" s="16"/>
      <c r="T50" s="42"/>
      <c r="U50" s="60"/>
      <c r="V50" s="9"/>
      <c r="W50" s="9"/>
      <c r="X50" s="9"/>
      <c r="Y50" s="9"/>
      <c r="AA50" s="2"/>
      <c r="AC50" s="9"/>
    </row>
    <row r="51" spans="1:29" ht="12.75">
      <c r="A51" s="9"/>
      <c r="C51" s="2"/>
      <c r="D51" s="2"/>
      <c r="E51" s="11"/>
      <c r="F51" s="9"/>
      <c r="I51" s="10"/>
      <c r="O51" s="2"/>
      <c r="P51" s="42"/>
      <c r="Q51" s="9"/>
      <c r="R51" s="29"/>
      <c r="S51" s="16"/>
      <c r="T51" s="42"/>
      <c r="U51" s="60"/>
      <c r="V51" s="9"/>
      <c r="W51" s="9"/>
      <c r="X51" s="9"/>
      <c r="Y51" s="9"/>
      <c r="AA51" s="2"/>
      <c r="AC51" s="9"/>
    </row>
    <row r="52" spans="1:29" ht="12.75">
      <c r="A52" s="9"/>
      <c r="C52" s="2"/>
      <c r="D52" s="2"/>
      <c r="E52" s="11"/>
      <c r="F52" s="9"/>
      <c r="I52" s="44"/>
      <c r="O52" s="2"/>
      <c r="P52" s="42"/>
      <c r="Q52" s="9"/>
      <c r="R52" s="29"/>
      <c r="S52" s="16"/>
      <c r="T52" s="9"/>
      <c r="U52" s="60"/>
      <c r="V52" s="9"/>
      <c r="W52" s="9"/>
      <c r="X52" s="9"/>
      <c r="Y52" s="9"/>
      <c r="AA52" s="2"/>
      <c r="AC52" s="9"/>
    </row>
    <row r="53" spans="1:29" ht="12.75">
      <c r="A53" s="9"/>
      <c r="C53" s="2"/>
      <c r="D53" s="2"/>
      <c r="E53" s="11"/>
      <c r="F53" s="9"/>
      <c r="I53" s="10"/>
      <c r="O53" s="2"/>
      <c r="P53" s="9"/>
      <c r="Q53" s="29"/>
      <c r="R53" s="42"/>
      <c r="S53" s="16"/>
      <c r="T53" s="29"/>
      <c r="U53" s="60"/>
      <c r="V53" s="9"/>
      <c r="W53" s="9"/>
      <c r="X53" s="9"/>
      <c r="Y53" s="9"/>
      <c r="AA53" s="2"/>
      <c r="AB53" s="9"/>
      <c r="AC53" s="9"/>
    </row>
    <row r="54" spans="1:29" ht="12.75">
      <c r="A54" s="9"/>
      <c r="C54" s="2"/>
      <c r="D54" s="2"/>
      <c r="E54" s="11"/>
      <c r="F54" s="9"/>
      <c r="I54" s="10"/>
      <c r="O54" s="2"/>
      <c r="P54" s="9"/>
      <c r="Q54" s="29"/>
      <c r="R54" s="42"/>
      <c r="S54" s="16"/>
      <c r="T54" s="29"/>
      <c r="U54" s="60"/>
      <c r="V54" s="9"/>
      <c r="W54" s="9"/>
      <c r="X54" s="9"/>
      <c r="Y54" s="9"/>
      <c r="AA54" s="2"/>
      <c r="AB54" s="9"/>
      <c r="AC54" s="9"/>
    </row>
    <row r="55" spans="1:29" ht="12.75">
      <c r="A55" s="9"/>
      <c r="C55" s="2"/>
      <c r="D55" s="2"/>
      <c r="E55" s="11"/>
      <c r="F55" s="9"/>
      <c r="I55" s="10"/>
      <c r="O55" s="2"/>
      <c r="P55" s="9"/>
      <c r="Q55" s="29"/>
      <c r="R55" s="42"/>
      <c r="S55" s="16"/>
      <c r="T55" s="29"/>
      <c r="U55" s="60"/>
      <c r="V55" s="9"/>
      <c r="W55" s="9"/>
      <c r="X55" s="9"/>
      <c r="Y55" s="9"/>
      <c r="AA55" s="2"/>
      <c r="AB55" s="9"/>
      <c r="AC55" s="9"/>
    </row>
    <row r="56" spans="1:29" ht="12.75">
      <c r="A56" s="9"/>
      <c r="C56" s="2"/>
      <c r="D56" s="2"/>
      <c r="E56" s="11"/>
      <c r="F56" s="9"/>
      <c r="I56" s="10"/>
      <c r="O56" s="10"/>
      <c r="P56" s="9"/>
      <c r="Q56" s="29"/>
      <c r="R56" s="16"/>
      <c r="S56" s="16"/>
      <c r="T56" s="16"/>
      <c r="U56" s="60"/>
      <c r="V56" s="9"/>
      <c r="W56" s="9"/>
      <c r="X56" s="9"/>
      <c r="Y56" s="9"/>
      <c r="Z56" s="9"/>
      <c r="AA56" s="2"/>
      <c r="AB56" s="9"/>
      <c r="AC56" s="9"/>
    </row>
    <row r="57" spans="1:29" ht="12.75">
      <c r="A57" s="9"/>
      <c r="B57" s="9"/>
      <c r="C57" s="2"/>
      <c r="D57" s="2"/>
      <c r="E57" s="11"/>
      <c r="F57" s="9"/>
      <c r="I57" s="10"/>
      <c r="O57" s="10"/>
      <c r="P57" s="42"/>
      <c r="Q57" s="16"/>
      <c r="R57" s="29"/>
      <c r="S57" s="16"/>
      <c r="T57" s="16"/>
      <c r="U57" s="60"/>
      <c r="V57" s="16"/>
      <c r="W57" s="9"/>
      <c r="X57" s="9"/>
      <c r="Y57" s="16"/>
      <c r="AA57" s="2"/>
      <c r="AB57" s="9"/>
      <c r="AC57" s="9"/>
    </row>
    <row r="58" spans="1:29" ht="12.75">
      <c r="A58" s="9"/>
      <c r="B58" s="9"/>
      <c r="C58" s="2"/>
      <c r="D58" s="2"/>
      <c r="E58" s="11"/>
      <c r="F58" s="9"/>
      <c r="I58" s="10"/>
      <c r="O58" s="10"/>
      <c r="P58" s="42"/>
      <c r="Q58" s="16"/>
      <c r="R58" s="29"/>
      <c r="S58" s="16"/>
      <c r="T58" s="16"/>
      <c r="U58" s="60"/>
      <c r="V58" s="16"/>
      <c r="W58" s="9"/>
      <c r="X58" s="9"/>
      <c r="Y58" s="16"/>
      <c r="AA58" s="2"/>
      <c r="AB58" s="9"/>
      <c r="AC58" s="9"/>
    </row>
    <row r="59" spans="1:29" ht="12.75">
      <c r="A59" s="9"/>
      <c r="B59" s="9"/>
      <c r="C59" s="2"/>
      <c r="D59" s="2"/>
      <c r="E59" s="11"/>
      <c r="F59" s="9"/>
      <c r="I59" s="10"/>
      <c r="O59" s="10"/>
      <c r="P59" s="42"/>
      <c r="Q59" s="16"/>
      <c r="R59" s="29"/>
      <c r="S59" s="16"/>
      <c r="T59" s="16"/>
      <c r="U59" s="60"/>
      <c r="V59" s="16"/>
      <c r="W59" s="9"/>
      <c r="X59" s="9"/>
      <c r="Y59" s="16"/>
      <c r="AA59" s="2"/>
      <c r="AB59" s="9"/>
      <c r="AC59" s="9"/>
    </row>
    <row r="60" spans="1:29" ht="12.75">
      <c r="A60" s="9"/>
      <c r="B60" s="9"/>
      <c r="C60" s="2"/>
      <c r="D60" s="2"/>
      <c r="E60" s="11"/>
      <c r="F60" s="9"/>
      <c r="I60" s="10"/>
      <c r="O60" s="10"/>
      <c r="P60" s="42"/>
      <c r="Q60" s="16"/>
      <c r="R60" s="16"/>
      <c r="S60" s="16"/>
      <c r="T60" s="16"/>
      <c r="U60" s="60"/>
      <c r="V60" s="16"/>
      <c r="W60" s="9"/>
      <c r="X60" s="9"/>
      <c r="Y60" s="16"/>
      <c r="AA60" s="2"/>
      <c r="AB60" s="9"/>
      <c r="AC60" s="9"/>
    </row>
    <row r="61" spans="1:29" ht="12.75">
      <c r="A61" s="9"/>
      <c r="C61" s="2"/>
      <c r="D61" s="2"/>
      <c r="E61" s="11"/>
      <c r="F61" s="9"/>
      <c r="I61" s="10"/>
      <c r="O61" s="32"/>
      <c r="P61" s="9"/>
      <c r="Q61" s="29"/>
      <c r="R61" s="29"/>
      <c r="S61" s="16"/>
      <c r="T61" s="9"/>
      <c r="U61" s="60"/>
      <c r="V61" s="9"/>
      <c r="W61" s="9"/>
      <c r="X61" s="9"/>
      <c r="Y61" s="9"/>
      <c r="AA61" s="2"/>
      <c r="AC61" s="9"/>
    </row>
    <row r="62" spans="1:29" ht="12.75">
      <c r="A62" s="9"/>
      <c r="C62" s="2"/>
      <c r="D62" s="2"/>
      <c r="E62" s="11"/>
      <c r="F62" s="9"/>
      <c r="I62" s="10"/>
      <c r="O62" s="32"/>
      <c r="P62" s="42"/>
      <c r="Q62" s="29"/>
      <c r="R62" s="29"/>
      <c r="S62" s="16"/>
      <c r="T62" s="29"/>
      <c r="U62" s="60"/>
      <c r="V62" s="9"/>
      <c r="W62" s="9"/>
      <c r="X62" s="9"/>
      <c r="Y62" s="9"/>
      <c r="AA62" s="2"/>
      <c r="AB62" s="9"/>
      <c r="AC62" s="9"/>
    </row>
    <row r="63" spans="1:29" ht="12.75">
      <c r="A63" s="9"/>
      <c r="C63" s="2"/>
      <c r="D63" s="2"/>
      <c r="E63" s="11"/>
      <c r="F63" s="9"/>
      <c r="I63" s="10"/>
      <c r="O63" s="32"/>
      <c r="P63" s="42"/>
      <c r="Q63" s="29"/>
      <c r="R63" s="16"/>
      <c r="S63" s="16"/>
      <c r="T63" s="9"/>
      <c r="U63" s="60"/>
      <c r="V63" s="9"/>
      <c r="W63" s="9"/>
      <c r="X63" s="9"/>
      <c r="Y63" s="9"/>
      <c r="AA63" s="2"/>
      <c r="AB63" s="9"/>
      <c r="AC63" s="9"/>
    </row>
    <row r="64" spans="1:27" ht="12.75">
      <c r="A64" s="9"/>
      <c r="B64" s="12"/>
      <c r="C64" s="2"/>
      <c r="D64" s="2"/>
      <c r="E64" s="11"/>
      <c r="F64" s="9"/>
      <c r="I64" s="10"/>
      <c r="O64" s="32"/>
      <c r="P64" s="42"/>
      <c r="Q64" s="29"/>
      <c r="R64" s="16"/>
      <c r="S64" s="16"/>
      <c r="T64" s="9"/>
      <c r="U64" s="60"/>
      <c r="V64" s="9"/>
      <c r="W64" s="9"/>
      <c r="X64" s="9"/>
      <c r="Y64" s="9"/>
      <c r="AA64" s="2"/>
    </row>
    <row r="65" spans="1:27" ht="12.75">
      <c r="A65" s="9"/>
      <c r="B65" s="12"/>
      <c r="C65" s="2"/>
      <c r="D65" s="2"/>
      <c r="E65" s="11"/>
      <c r="F65" s="9"/>
      <c r="I65" s="10"/>
      <c r="O65" s="32"/>
      <c r="P65" s="42"/>
      <c r="Q65" s="29"/>
      <c r="R65" s="16"/>
      <c r="S65" s="16"/>
      <c r="T65" s="9"/>
      <c r="U65" s="60"/>
      <c r="V65" s="9"/>
      <c r="W65" s="9"/>
      <c r="X65" s="9"/>
      <c r="Y65" s="9"/>
      <c r="AA65" s="2"/>
    </row>
    <row r="66" spans="1:29" ht="12.75">
      <c r="A66" s="9"/>
      <c r="C66" s="2"/>
      <c r="D66" s="2"/>
      <c r="E66" s="11"/>
      <c r="F66" s="9"/>
      <c r="I66" s="10"/>
      <c r="O66" s="32"/>
      <c r="P66" s="42"/>
      <c r="Q66" s="29"/>
      <c r="R66" s="16"/>
      <c r="S66" s="16"/>
      <c r="T66" s="9"/>
      <c r="U66" s="60"/>
      <c r="V66" s="9"/>
      <c r="W66" s="9"/>
      <c r="X66" s="9"/>
      <c r="Y66" s="9"/>
      <c r="AA66" s="2"/>
      <c r="AB66" s="9"/>
      <c r="AC66" s="9"/>
    </row>
    <row r="67" spans="1:29" ht="12.75">
      <c r="A67" s="9"/>
      <c r="C67" s="2"/>
      <c r="D67" s="2"/>
      <c r="E67" s="11"/>
      <c r="F67" s="9"/>
      <c r="I67" s="10"/>
      <c r="O67" s="32"/>
      <c r="P67" s="42"/>
      <c r="Q67" s="29"/>
      <c r="R67" s="16"/>
      <c r="S67" s="16"/>
      <c r="T67" s="9"/>
      <c r="U67" s="60"/>
      <c r="V67" s="9"/>
      <c r="W67" s="9"/>
      <c r="X67" s="9"/>
      <c r="Y67" s="9"/>
      <c r="AA67" s="2"/>
      <c r="AB67" s="9"/>
      <c r="AC67" s="9"/>
    </row>
    <row r="68" spans="1:29" ht="12.75">
      <c r="A68" s="9"/>
      <c r="C68" s="2"/>
      <c r="D68" s="2"/>
      <c r="E68" s="11"/>
      <c r="F68" s="9"/>
      <c r="I68" s="10"/>
      <c r="O68" s="32"/>
      <c r="P68" s="9"/>
      <c r="Q68" s="9"/>
      <c r="R68" s="16"/>
      <c r="S68" s="16"/>
      <c r="T68" s="9"/>
      <c r="U68" s="60"/>
      <c r="V68" s="9"/>
      <c r="W68" s="9"/>
      <c r="X68" s="9"/>
      <c r="Y68" s="9"/>
      <c r="Z68" s="9"/>
      <c r="AA68" s="2"/>
      <c r="AB68" s="9"/>
      <c r="AC68" s="9"/>
    </row>
    <row r="69" spans="1:28" ht="12.75">
      <c r="A69" s="9"/>
      <c r="B69" s="12"/>
      <c r="C69" s="2"/>
      <c r="D69" s="2"/>
      <c r="E69" s="11"/>
      <c r="F69" s="9"/>
      <c r="I69" s="10"/>
      <c r="J69" s="6"/>
      <c r="K69" s="6"/>
      <c r="L69" s="6"/>
      <c r="M69" s="6"/>
      <c r="N69" s="6"/>
      <c r="O69" s="44"/>
      <c r="P69" s="42"/>
      <c r="Q69" s="42"/>
      <c r="R69" s="42"/>
      <c r="S69" s="46"/>
      <c r="T69" s="35"/>
      <c r="U69" s="60"/>
      <c r="V69" s="35"/>
      <c r="W69" s="35"/>
      <c r="X69" s="35"/>
      <c r="Y69" s="35"/>
      <c r="Z69" s="34"/>
      <c r="AA69" s="44"/>
      <c r="AB69" s="9"/>
    </row>
    <row r="70" spans="15:21" ht="12.75">
      <c r="O70" s="2"/>
      <c r="U70" s="60"/>
    </row>
    <row r="71" ht="12.75">
      <c r="U71" s="60"/>
    </row>
    <row r="72" ht="12.75">
      <c r="U72" s="60"/>
    </row>
    <row r="73" spans="1:29" ht="12.75">
      <c r="A73" s="9"/>
      <c r="C73" s="2"/>
      <c r="D73" s="2"/>
      <c r="E73" s="11"/>
      <c r="F73" s="9"/>
      <c r="I73" s="6"/>
      <c r="J73" s="6"/>
      <c r="K73" s="6"/>
      <c r="L73" s="6"/>
      <c r="M73" s="6"/>
      <c r="N73" s="6"/>
      <c r="O73" s="2"/>
      <c r="P73" s="29"/>
      <c r="Q73" s="9"/>
      <c r="R73" s="42"/>
      <c r="S73" s="16"/>
      <c r="T73" s="9"/>
      <c r="U73" s="60"/>
      <c r="V73" s="16"/>
      <c r="W73" s="9"/>
      <c r="X73" s="9"/>
      <c r="Y73" s="9"/>
      <c r="AA73" s="2"/>
      <c r="AC73" s="9"/>
    </row>
    <row r="74" spans="1:27" ht="12.75">
      <c r="A74" s="9"/>
      <c r="C74" s="2"/>
      <c r="D74" s="2"/>
      <c r="O74" s="2"/>
      <c r="P74" s="16"/>
      <c r="Q74" s="9"/>
      <c r="R74" s="16"/>
      <c r="S74" s="29"/>
      <c r="T74" s="9"/>
      <c r="U74" s="60"/>
      <c r="V74" s="16"/>
      <c r="W74" s="9"/>
      <c r="X74" s="9"/>
      <c r="Y74" s="9"/>
      <c r="AA74" s="2"/>
    </row>
    <row r="75" spans="1:27" ht="12.75">
      <c r="A75" s="9"/>
      <c r="C75" s="2"/>
      <c r="D75" s="2"/>
      <c r="O75" s="2"/>
      <c r="P75" s="16"/>
      <c r="Q75" s="9"/>
      <c r="R75" s="29"/>
      <c r="S75" s="16"/>
      <c r="T75" s="9"/>
      <c r="U75" s="60"/>
      <c r="V75" s="16"/>
      <c r="W75" s="9"/>
      <c r="X75" s="9"/>
      <c r="Y75" s="9"/>
      <c r="AA75" s="2"/>
    </row>
    <row r="79" spans="1:8" ht="12.75">
      <c r="A79" s="2"/>
      <c r="B79" s="11"/>
      <c r="H79" s="33"/>
    </row>
    <row r="83" ht="12.75">
      <c r="I83" s="27"/>
    </row>
  </sheetData>
  <printOptions/>
  <pageMargins left="0.75" right="0.75" top="1" bottom="1" header="0.5" footer="0.5"/>
  <pageSetup horizontalDpi="300" verticalDpi="300" orientation="portrait" r:id="rId1"/>
  <ignoredErrors>
    <ignoredError sqref="W22" formula="1"/>
  </ignoredErrors>
</worksheet>
</file>

<file path=xl/worksheets/sheet12.xml><?xml version="1.0" encoding="utf-8"?>
<worksheet xmlns="http://schemas.openxmlformats.org/spreadsheetml/2006/main" xmlns:r="http://schemas.openxmlformats.org/officeDocument/2006/relationships">
  <dimension ref="A1:T122"/>
  <sheetViews>
    <sheetView workbookViewId="0" topLeftCell="A1">
      <pane ySplit="1" topLeftCell="BM2" activePane="bottomLeft" state="frozen"/>
      <selection pane="topLeft" activeCell="A1" sqref="A1"/>
      <selection pane="bottomLeft" activeCell="A5" sqref="A5:IV5"/>
    </sheetView>
  </sheetViews>
  <sheetFormatPr defaultColWidth="9.140625" defaultRowHeight="12.75"/>
  <cols>
    <col min="2" max="2" width="10.140625" style="0" customWidth="1"/>
    <col min="3" max="3" width="6.00390625" style="0" bestFit="1" customWidth="1"/>
    <col min="4" max="4" width="5.00390625" style="0" customWidth="1"/>
    <col min="5" max="5" width="5.421875" style="0" customWidth="1"/>
    <col min="8" max="8" width="8.57421875" style="0" customWidth="1"/>
  </cols>
  <sheetData>
    <row r="1" spans="1:9" ht="12.75">
      <c r="A1" s="54"/>
      <c r="B1" t="s">
        <v>1131</v>
      </c>
      <c r="C1" t="s">
        <v>1132</v>
      </c>
      <c r="D1" t="s">
        <v>1265</v>
      </c>
      <c r="E1" t="s">
        <v>1133</v>
      </c>
      <c r="F1" t="s">
        <v>1135</v>
      </c>
      <c r="I1" t="s">
        <v>1134</v>
      </c>
    </row>
    <row r="2" spans="1:16" ht="13.5" thickBot="1">
      <c r="A2" s="54"/>
      <c r="F2" t="s">
        <v>637</v>
      </c>
      <c r="I2" s="92"/>
      <c r="J2" s="92"/>
      <c r="K2" s="92"/>
      <c r="L2" s="92"/>
      <c r="M2" s="92"/>
      <c r="N2" s="92"/>
      <c r="O2" s="92"/>
      <c r="P2" s="92"/>
    </row>
    <row r="3" spans="1:19" ht="13.5" thickBot="1">
      <c r="A3" s="132"/>
      <c r="B3" s="159"/>
      <c r="C3" s="171">
        <v>32</v>
      </c>
      <c r="D3" s="55">
        <f>C3/28.349523</f>
        <v>1.1287667873635827</v>
      </c>
      <c r="E3" s="55">
        <f>D3/16</f>
        <v>0.07054792421022392</v>
      </c>
      <c r="F3" s="59" t="s">
        <v>1709</v>
      </c>
      <c r="G3" s="54"/>
      <c r="H3" s="54"/>
      <c r="I3" s="92"/>
      <c r="J3" s="92"/>
      <c r="K3" s="92"/>
      <c r="L3" s="92"/>
      <c r="M3" s="92"/>
      <c r="N3" s="92"/>
      <c r="O3" s="92"/>
      <c r="P3" s="92"/>
      <c r="Q3" s="92"/>
      <c r="R3" s="92"/>
      <c r="S3" s="92"/>
    </row>
    <row r="4" spans="1:19" ht="13.5" thickBot="1">
      <c r="A4" s="132"/>
      <c r="B4" s="159"/>
      <c r="C4" s="103">
        <v>57</v>
      </c>
      <c r="D4" s="55">
        <f>C4/28.349523</f>
        <v>2.010615839991382</v>
      </c>
      <c r="E4" s="55">
        <f>D4/16</f>
        <v>0.12566348999946136</v>
      </c>
      <c r="F4" s="54" t="s">
        <v>838</v>
      </c>
      <c r="G4" s="54"/>
      <c r="H4" s="54"/>
      <c r="I4" s="92" t="s">
        <v>838</v>
      </c>
      <c r="J4" s="92"/>
      <c r="K4" s="92"/>
      <c r="L4" s="92"/>
      <c r="M4" s="92"/>
      <c r="N4" s="92"/>
      <c r="O4" s="92"/>
      <c r="P4" s="92"/>
      <c r="Q4" s="92"/>
      <c r="R4" s="92"/>
      <c r="S4" s="92"/>
    </row>
    <row r="5" spans="1:19" ht="13.5" thickBot="1">
      <c r="A5" s="132"/>
      <c r="B5" s="159"/>
      <c r="C5" s="93">
        <v>19</v>
      </c>
      <c r="D5" s="94">
        <f>C5/28.349523</f>
        <v>0.6702052799971272</v>
      </c>
      <c r="E5" s="55"/>
      <c r="F5" s="56" t="s">
        <v>1803</v>
      </c>
      <c r="G5" s="54"/>
      <c r="H5" s="54"/>
      <c r="I5" s="92"/>
      <c r="J5" s="92"/>
      <c r="K5" s="92"/>
      <c r="L5" s="92"/>
      <c r="M5" s="92"/>
      <c r="N5" s="92"/>
      <c r="O5" s="92"/>
      <c r="P5" s="92"/>
      <c r="Q5" s="92"/>
      <c r="R5" s="92"/>
      <c r="S5" s="92"/>
    </row>
    <row r="6" spans="1:19" ht="13.5" thickBot="1">
      <c r="A6" s="132"/>
      <c r="B6" s="159"/>
      <c r="C6" s="103"/>
      <c r="D6" s="55"/>
      <c r="E6" s="55"/>
      <c r="F6" s="56" t="s">
        <v>16</v>
      </c>
      <c r="G6" s="87"/>
      <c r="H6" s="54"/>
      <c r="I6" s="92" t="s">
        <v>1191</v>
      </c>
      <c r="J6" s="92"/>
      <c r="K6" s="92"/>
      <c r="L6" s="92"/>
      <c r="M6" s="92"/>
      <c r="N6" s="94"/>
      <c r="O6" s="92"/>
      <c r="P6" s="134"/>
      <c r="Q6" s="92"/>
      <c r="R6" s="92"/>
      <c r="S6" s="92"/>
    </row>
    <row r="7" spans="1:8" ht="13.5" thickBot="1">
      <c r="A7" s="132"/>
      <c r="B7" s="159"/>
      <c r="C7" s="9"/>
      <c r="D7" s="55"/>
      <c r="E7" s="55"/>
      <c r="F7" s="54" t="s">
        <v>2000</v>
      </c>
      <c r="G7" s="87"/>
      <c r="H7" s="54"/>
    </row>
    <row r="8" spans="1:8" ht="13.5" thickBot="1">
      <c r="A8" s="132"/>
      <c r="B8" s="159"/>
      <c r="C8" s="9">
        <v>146</v>
      </c>
      <c r="D8" s="55">
        <f>C8/28.349523</f>
        <v>5.149998467346347</v>
      </c>
      <c r="E8" s="55">
        <f>D8/16</f>
        <v>0.32187490420914666</v>
      </c>
      <c r="F8" s="54" t="s">
        <v>1464</v>
      </c>
      <c r="G8" s="87"/>
      <c r="H8" s="54"/>
    </row>
    <row r="9" spans="1:19" ht="12.75">
      <c r="A9" s="54"/>
      <c r="B9" s="66" t="s">
        <v>1620</v>
      </c>
      <c r="C9" s="57">
        <v>16</v>
      </c>
      <c r="D9" s="55"/>
      <c r="E9" s="55"/>
      <c r="F9" s="56" t="s">
        <v>891</v>
      </c>
      <c r="G9" s="54"/>
      <c r="H9" s="54"/>
      <c r="I9" s="92"/>
      <c r="J9" s="92"/>
      <c r="K9" s="92"/>
      <c r="L9" s="92"/>
      <c r="M9" s="92"/>
      <c r="N9" s="92"/>
      <c r="O9" s="92"/>
      <c r="P9" s="92"/>
      <c r="Q9" s="92"/>
      <c r="R9" s="92"/>
      <c r="S9" s="92"/>
    </row>
    <row r="10" spans="1:19" ht="12.75">
      <c r="A10" s="54"/>
      <c r="B10" s="66" t="s">
        <v>1620</v>
      </c>
      <c r="C10" s="54">
        <v>15</v>
      </c>
      <c r="D10" s="55">
        <f aca="true" t="shared" si="0" ref="D10:D15">C10/28.349523</f>
        <v>0.5291094315766794</v>
      </c>
      <c r="E10" s="54"/>
      <c r="F10" s="54" t="s">
        <v>10</v>
      </c>
      <c r="G10" s="54"/>
      <c r="H10" s="54"/>
      <c r="I10" s="92" t="s">
        <v>1285</v>
      </c>
      <c r="J10" s="92"/>
      <c r="K10" s="92"/>
      <c r="L10" s="92"/>
      <c r="M10" s="92"/>
      <c r="N10" s="92"/>
      <c r="O10" s="92"/>
      <c r="P10" s="92"/>
      <c r="Q10" s="92"/>
      <c r="R10" s="92"/>
      <c r="S10" s="92"/>
    </row>
    <row r="11" spans="1:19" ht="13.5" thickBot="1">
      <c r="A11" s="54"/>
      <c r="B11" s="66" t="s">
        <v>1620</v>
      </c>
      <c r="C11" s="54">
        <v>20</v>
      </c>
      <c r="D11" s="55">
        <f t="shared" si="0"/>
        <v>0.7054792421022392</v>
      </c>
      <c r="E11" s="54"/>
      <c r="F11" s="54" t="s">
        <v>11</v>
      </c>
      <c r="G11" s="54"/>
      <c r="H11" s="54"/>
      <c r="I11" s="92" t="s">
        <v>13</v>
      </c>
      <c r="J11" s="92"/>
      <c r="K11" s="92"/>
      <c r="L11" s="92"/>
      <c r="M11" s="92"/>
      <c r="N11" s="92"/>
      <c r="O11" s="92"/>
      <c r="P11" s="92"/>
      <c r="Q11" s="92"/>
      <c r="R11" s="92"/>
      <c r="S11" s="92"/>
    </row>
    <row r="12" spans="1:19" ht="12.75">
      <c r="A12" s="54"/>
      <c r="B12" s="66" t="s">
        <v>1620</v>
      </c>
      <c r="C12" s="57">
        <v>196</v>
      </c>
      <c r="D12" s="55">
        <f t="shared" si="0"/>
        <v>6.913696572601944</v>
      </c>
      <c r="E12" s="55">
        <f>D12/16</f>
        <v>0.4321060357876215</v>
      </c>
      <c r="F12" s="96" t="s">
        <v>649</v>
      </c>
      <c r="G12" s="54"/>
      <c r="H12" s="54"/>
      <c r="I12" s="177" t="s">
        <v>1276</v>
      </c>
      <c r="J12" s="92"/>
      <c r="K12" s="92"/>
      <c r="L12" s="92"/>
      <c r="M12" s="92"/>
      <c r="N12" s="92"/>
      <c r="O12" s="92"/>
      <c r="P12" s="190" t="s">
        <v>1138</v>
      </c>
      <c r="Q12" s="174"/>
      <c r="R12" s="174"/>
      <c r="S12" s="191"/>
    </row>
    <row r="13" spans="1:19" ht="12.75">
      <c r="A13" s="54"/>
      <c r="B13" s="66" t="s">
        <v>1620</v>
      </c>
      <c r="C13" s="54">
        <v>470</v>
      </c>
      <c r="D13" s="55">
        <f t="shared" si="0"/>
        <v>16.57876218940262</v>
      </c>
      <c r="E13" s="55">
        <f>D13/16</f>
        <v>1.0361726368376638</v>
      </c>
      <c r="F13" s="96" t="s">
        <v>1460</v>
      </c>
      <c r="G13" s="54"/>
      <c r="H13" s="54"/>
      <c r="I13" s="177" t="s">
        <v>1461</v>
      </c>
      <c r="J13" s="92"/>
      <c r="K13" s="92"/>
      <c r="L13" s="92"/>
      <c r="M13" s="92"/>
      <c r="N13" s="92"/>
      <c r="O13" s="92"/>
      <c r="P13" s="192"/>
      <c r="Q13" s="92" t="s">
        <v>1137</v>
      </c>
      <c r="R13" s="92"/>
      <c r="S13" s="193"/>
    </row>
    <row r="14" spans="1:19" ht="12.75">
      <c r="A14" s="54"/>
      <c r="B14" s="66" t="s">
        <v>1620</v>
      </c>
      <c r="C14" s="57">
        <v>26</v>
      </c>
      <c r="D14" s="55">
        <f t="shared" si="0"/>
        <v>0.917123014732911</v>
      </c>
      <c r="E14" s="55"/>
      <c r="F14" s="96" t="s">
        <v>18</v>
      </c>
      <c r="G14" s="54"/>
      <c r="H14" s="54"/>
      <c r="I14" s="139" t="s">
        <v>19</v>
      </c>
      <c r="J14" s="92"/>
      <c r="K14" s="92"/>
      <c r="L14" s="92"/>
      <c r="M14" s="92"/>
      <c r="N14" s="92"/>
      <c r="O14" s="92"/>
      <c r="P14" s="92"/>
      <c r="Q14" s="92"/>
      <c r="R14" s="92"/>
      <c r="S14" s="92"/>
    </row>
    <row r="15" spans="1:19" ht="12.75">
      <c r="A15" s="54"/>
      <c r="B15" s="201" t="s">
        <v>1620</v>
      </c>
      <c r="C15" s="68">
        <v>22</v>
      </c>
      <c r="D15" s="69">
        <f t="shared" si="0"/>
        <v>0.7760271663124632</v>
      </c>
      <c r="E15" s="183"/>
      <c r="F15" s="187" t="s">
        <v>414</v>
      </c>
      <c r="G15" s="67"/>
      <c r="H15" s="67"/>
      <c r="I15" s="149" t="s">
        <v>9</v>
      </c>
      <c r="J15" s="92"/>
      <c r="K15" s="92"/>
      <c r="L15" s="92"/>
      <c r="M15" s="92"/>
      <c r="N15" s="92"/>
      <c r="O15" s="92"/>
      <c r="P15" s="92"/>
      <c r="Q15" s="92"/>
      <c r="R15" s="92"/>
      <c r="S15" s="92"/>
    </row>
    <row r="16" spans="1:20" ht="12.75">
      <c r="A16" s="54"/>
      <c r="B16" s="200" t="s">
        <v>1620</v>
      </c>
      <c r="C16" s="54"/>
      <c r="D16" s="54"/>
      <c r="E16" s="87"/>
      <c r="F16" s="118" t="s">
        <v>2087</v>
      </c>
      <c r="G16" s="54"/>
      <c r="H16" s="54"/>
      <c r="I16" s="156" t="s">
        <v>2090</v>
      </c>
      <c r="J16" s="72"/>
      <c r="K16" s="72"/>
      <c r="L16" s="72"/>
      <c r="M16" s="72"/>
      <c r="N16" s="72"/>
      <c r="O16" s="73"/>
      <c r="P16" s="92"/>
      <c r="Q16" s="92"/>
      <c r="R16" s="92"/>
      <c r="S16" s="92"/>
      <c r="T16" s="92"/>
    </row>
    <row r="17" spans="1:20" ht="12.75">
      <c r="A17" s="54"/>
      <c r="B17" s="200" t="s">
        <v>1620</v>
      </c>
      <c r="C17" s="57">
        <v>124</v>
      </c>
      <c r="D17" s="55">
        <f>C17/28.349523</f>
        <v>4.373971301033883</v>
      </c>
      <c r="E17" s="198">
        <f>D17/16</f>
        <v>0.2733732063146177</v>
      </c>
      <c r="F17" s="118" t="s">
        <v>15</v>
      </c>
      <c r="G17" s="54"/>
      <c r="H17" s="54"/>
      <c r="I17" s="157" t="s">
        <v>2089</v>
      </c>
      <c r="J17" s="92"/>
      <c r="K17" s="92"/>
      <c r="L17" s="92"/>
      <c r="M17" s="92"/>
      <c r="N17" s="92"/>
      <c r="O17" s="153"/>
      <c r="P17" s="92"/>
      <c r="Q17" s="92"/>
      <c r="R17" s="92"/>
      <c r="S17" s="92"/>
      <c r="T17" s="92"/>
    </row>
    <row r="18" spans="1:20" ht="12.75">
      <c r="A18" s="54"/>
      <c r="B18" s="200" t="s">
        <v>1620</v>
      </c>
      <c r="C18" s="57"/>
      <c r="D18" s="55"/>
      <c r="E18" s="199"/>
      <c r="F18" s="118" t="s">
        <v>14</v>
      </c>
      <c r="G18" s="54"/>
      <c r="H18" s="54"/>
      <c r="I18" s="158" t="s">
        <v>2091</v>
      </c>
      <c r="J18" s="154"/>
      <c r="K18" s="154"/>
      <c r="L18" s="154"/>
      <c r="M18" s="154"/>
      <c r="N18" s="154"/>
      <c r="O18" s="155"/>
      <c r="P18" s="92"/>
      <c r="Q18" s="92"/>
      <c r="R18" s="92"/>
      <c r="S18" s="92"/>
      <c r="T18" s="92"/>
    </row>
    <row r="19" spans="1:19" ht="12.75">
      <c r="A19" s="54"/>
      <c r="B19" s="200" t="s">
        <v>1620</v>
      </c>
      <c r="C19" s="54">
        <v>60</v>
      </c>
      <c r="D19" s="55">
        <f aca="true" t="shared" si="1" ref="D19:D52">C19/28.349523</f>
        <v>2.116437726306718</v>
      </c>
      <c r="E19" s="198"/>
      <c r="F19" s="59" t="s">
        <v>1280</v>
      </c>
      <c r="G19" s="54"/>
      <c r="H19" s="54"/>
      <c r="I19" s="92"/>
      <c r="J19" s="92"/>
      <c r="K19" s="92"/>
      <c r="L19" s="92"/>
      <c r="M19" s="92"/>
      <c r="N19" s="92"/>
      <c r="O19" s="92"/>
      <c r="P19" s="92"/>
      <c r="Q19" s="92"/>
      <c r="R19" s="92"/>
      <c r="S19" s="92"/>
    </row>
    <row r="20" spans="1:19" ht="12.75">
      <c r="A20" s="54"/>
      <c r="B20" s="66" t="s">
        <v>1620</v>
      </c>
      <c r="C20" s="54">
        <v>14</v>
      </c>
      <c r="D20" s="55">
        <f t="shared" si="1"/>
        <v>0.4938354694715675</v>
      </c>
      <c r="E20" s="66"/>
      <c r="F20" s="54" t="s">
        <v>1221</v>
      </c>
      <c r="G20" s="54"/>
      <c r="H20" s="54"/>
      <c r="I20" s="149" t="s">
        <v>2092</v>
      </c>
      <c r="J20" s="92"/>
      <c r="K20" s="92"/>
      <c r="L20" s="92"/>
      <c r="M20" s="92"/>
      <c r="N20" s="92"/>
      <c r="O20" s="92"/>
      <c r="P20" s="92"/>
      <c r="Q20" s="92"/>
      <c r="R20" s="92"/>
      <c r="S20" s="92"/>
    </row>
    <row r="21" spans="1:19" ht="12.75">
      <c r="A21" s="54"/>
      <c r="B21" s="66" t="s">
        <v>1620</v>
      </c>
      <c r="C21" s="57">
        <v>20</v>
      </c>
      <c r="D21" s="55">
        <f t="shared" si="1"/>
        <v>0.7054792421022392</v>
      </c>
      <c r="E21" s="198"/>
      <c r="F21" s="54" t="s">
        <v>655</v>
      </c>
      <c r="G21" s="54"/>
      <c r="H21" s="54"/>
      <c r="I21" s="66" t="s">
        <v>1432</v>
      </c>
      <c r="J21" s="92"/>
      <c r="K21" s="92"/>
      <c r="L21" s="92"/>
      <c r="M21" s="92"/>
      <c r="N21" s="92"/>
      <c r="O21" s="92"/>
      <c r="P21" s="92"/>
      <c r="Q21" s="92"/>
      <c r="R21" s="92"/>
      <c r="S21" s="92"/>
    </row>
    <row r="22" spans="1:19" ht="12.75">
      <c r="A22" s="54"/>
      <c r="B22" s="66" t="s">
        <v>1620</v>
      </c>
      <c r="C22" s="57">
        <v>14</v>
      </c>
      <c r="D22" s="55">
        <f t="shared" si="1"/>
        <v>0.4938354694715675</v>
      </c>
      <c r="E22" s="199"/>
      <c r="F22" s="56" t="s">
        <v>342</v>
      </c>
      <c r="G22" s="54"/>
      <c r="H22" s="54"/>
      <c r="I22" s="178" t="s">
        <v>341</v>
      </c>
      <c r="J22" s="92"/>
      <c r="K22" s="92"/>
      <c r="L22" s="92"/>
      <c r="M22" s="92"/>
      <c r="N22" s="92"/>
      <c r="O22" s="92"/>
      <c r="P22" s="92"/>
      <c r="Q22" s="92"/>
      <c r="R22" s="92"/>
      <c r="S22" s="92"/>
    </row>
    <row r="23" spans="1:19" ht="12.75">
      <c r="A23" s="54"/>
      <c r="B23" s="66" t="s">
        <v>1620</v>
      </c>
      <c r="C23" s="57">
        <v>14</v>
      </c>
      <c r="D23" s="55">
        <f t="shared" si="1"/>
        <v>0.4938354694715675</v>
      </c>
      <c r="E23" s="199"/>
      <c r="F23" s="97" t="s">
        <v>1319</v>
      </c>
      <c r="G23" s="54"/>
      <c r="H23" s="54"/>
      <c r="I23" s="95" t="s">
        <v>1320</v>
      </c>
      <c r="J23" s="92"/>
      <c r="K23" s="92"/>
      <c r="L23" s="92"/>
      <c r="M23" s="92"/>
      <c r="N23" s="92"/>
      <c r="O23" s="92"/>
      <c r="P23" s="92"/>
      <c r="Q23" s="92"/>
      <c r="R23" s="92"/>
      <c r="S23" s="92"/>
    </row>
    <row r="24" spans="1:9" ht="12" customHeight="1">
      <c r="A24" s="54"/>
      <c r="B24" s="66" t="s">
        <v>1620</v>
      </c>
      <c r="C24" s="57">
        <v>86</v>
      </c>
      <c r="D24" s="55">
        <f t="shared" si="1"/>
        <v>3.033560741039629</v>
      </c>
      <c r="E24" s="2">
        <f>D24/16</f>
        <v>0.1895975463149768</v>
      </c>
      <c r="F24" s="106" t="s">
        <v>1283</v>
      </c>
      <c r="I24" s="4" t="s">
        <v>1284</v>
      </c>
    </row>
    <row r="25" spans="1:19" ht="12.75">
      <c r="A25" s="54"/>
      <c r="B25" s="66" t="s">
        <v>1620</v>
      </c>
      <c r="C25" s="54">
        <v>21</v>
      </c>
      <c r="D25" s="55">
        <f t="shared" si="1"/>
        <v>0.7407532042073511</v>
      </c>
      <c r="E25" s="66"/>
      <c r="F25" s="54" t="s">
        <v>646</v>
      </c>
      <c r="G25" s="54"/>
      <c r="H25" s="54"/>
      <c r="I25" s="95" t="s">
        <v>245</v>
      </c>
      <c r="J25" s="92"/>
      <c r="K25" s="92"/>
      <c r="L25" s="92"/>
      <c r="M25" s="92"/>
      <c r="N25" s="92"/>
      <c r="O25" s="92"/>
      <c r="P25" s="92"/>
      <c r="Q25" s="92"/>
      <c r="R25" s="92"/>
      <c r="S25" s="92"/>
    </row>
    <row r="26" spans="1:19" ht="12.75">
      <c r="A26" s="54"/>
      <c r="B26" s="66" t="s">
        <v>1620</v>
      </c>
      <c r="C26" s="57">
        <v>243</v>
      </c>
      <c r="D26" s="55">
        <f t="shared" si="1"/>
        <v>8.571572791542206</v>
      </c>
      <c r="E26" s="198">
        <f>D26/16</f>
        <v>0.5357232994713879</v>
      </c>
      <c r="F26" s="147" t="s">
        <v>659</v>
      </c>
      <c r="G26" s="54"/>
      <c r="H26" s="54"/>
      <c r="I26" s="139" t="s">
        <v>246</v>
      </c>
      <c r="J26" s="92"/>
      <c r="K26" s="92"/>
      <c r="L26" s="92"/>
      <c r="M26" s="92"/>
      <c r="N26" s="92"/>
      <c r="O26" s="92"/>
      <c r="P26" s="92"/>
      <c r="Q26" s="92"/>
      <c r="R26" s="92"/>
      <c r="S26" s="92"/>
    </row>
    <row r="27" spans="1:19" ht="12.75">
      <c r="A27" s="54"/>
      <c r="B27" s="200" t="s">
        <v>1620</v>
      </c>
      <c r="C27" s="57">
        <v>236</v>
      </c>
      <c r="D27" s="55">
        <f t="shared" si="1"/>
        <v>8.324655056806423</v>
      </c>
      <c r="E27" s="198">
        <f>D27/16</f>
        <v>0.5202909410504014</v>
      </c>
      <c r="F27" s="54" t="s">
        <v>2005</v>
      </c>
      <c r="G27" s="87"/>
      <c r="H27" s="54"/>
      <c r="I27" s="92" t="s">
        <v>2071</v>
      </c>
      <c r="J27" s="92"/>
      <c r="K27" s="92"/>
      <c r="L27" s="92"/>
      <c r="M27" s="92"/>
      <c r="N27" s="92"/>
      <c r="O27" s="92"/>
      <c r="P27" s="92"/>
      <c r="Q27" s="92"/>
      <c r="R27" s="92"/>
      <c r="S27" s="92"/>
    </row>
    <row r="28" spans="1:19" ht="12.75">
      <c r="A28" s="54"/>
      <c r="B28" s="66" t="s">
        <v>1620</v>
      </c>
      <c r="C28" s="57">
        <v>86</v>
      </c>
      <c r="D28" s="55">
        <f t="shared" si="1"/>
        <v>3.033560741039629</v>
      </c>
      <c r="E28" s="55"/>
      <c r="F28" s="54" t="s">
        <v>2008</v>
      </c>
      <c r="G28" s="87"/>
      <c r="H28" s="54"/>
      <c r="I28" s="92" t="s">
        <v>2007</v>
      </c>
      <c r="J28" s="92"/>
      <c r="K28" s="92"/>
      <c r="L28" s="92"/>
      <c r="M28" s="92"/>
      <c r="N28" s="92"/>
      <c r="O28" s="92"/>
      <c r="P28" s="92"/>
      <c r="Q28" s="92"/>
      <c r="R28" s="92"/>
      <c r="S28" s="92"/>
    </row>
    <row r="29" spans="1:19" ht="12.75">
      <c r="A29" s="54"/>
      <c r="B29" s="66" t="s">
        <v>1620</v>
      </c>
      <c r="C29" s="54">
        <v>32</v>
      </c>
      <c r="D29" s="55">
        <f t="shared" si="1"/>
        <v>1.1287667873635827</v>
      </c>
      <c r="E29" s="55"/>
      <c r="F29" s="54" t="s">
        <v>222</v>
      </c>
      <c r="G29" s="54"/>
      <c r="H29" s="54"/>
      <c r="I29" s="139" t="s">
        <v>1288</v>
      </c>
      <c r="J29" s="92"/>
      <c r="K29" s="92"/>
      <c r="L29" s="92"/>
      <c r="M29" s="92"/>
      <c r="N29" s="92"/>
      <c r="O29" s="92"/>
      <c r="P29" s="92"/>
      <c r="Q29" s="92"/>
      <c r="R29" s="92"/>
      <c r="S29" s="92"/>
    </row>
    <row r="30" spans="1:19" ht="12.75">
      <c r="A30" s="54"/>
      <c r="B30" s="66" t="s">
        <v>1620</v>
      </c>
      <c r="C30" s="54">
        <v>18</v>
      </c>
      <c r="D30" s="55">
        <f t="shared" si="1"/>
        <v>0.6349313178920153</v>
      </c>
      <c r="E30" s="55"/>
      <c r="F30" s="54" t="s">
        <v>2017</v>
      </c>
      <c r="G30" s="54"/>
      <c r="H30" s="54"/>
      <c r="I30" s="139" t="s">
        <v>432</v>
      </c>
      <c r="J30" s="92"/>
      <c r="K30" s="92"/>
      <c r="L30" s="92"/>
      <c r="M30" s="92"/>
      <c r="N30" s="92"/>
      <c r="O30" s="92"/>
      <c r="P30" s="92"/>
      <c r="Q30" s="92"/>
      <c r="R30" s="92"/>
      <c r="S30" s="92"/>
    </row>
    <row r="31" spans="1:19" ht="12.75">
      <c r="A31" s="54"/>
      <c r="B31" s="200" t="s">
        <v>1620</v>
      </c>
      <c r="C31" s="57">
        <v>60</v>
      </c>
      <c r="D31" s="55">
        <f t="shared" si="1"/>
        <v>2.116437726306718</v>
      </c>
      <c r="E31" s="55"/>
      <c r="F31" s="56" t="s">
        <v>23</v>
      </c>
      <c r="G31" s="54"/>
      <c r="H31" s="54"/>
      <c r="I31" s="92"/>
      <c r="J31" s="92"/>
      <c r="K31" s="92"/>
      <c r="L31" s="92"/>
      <c r="M31" s="92"/>
      <c r="N31" s="92"/>
      <c r="O31" s="92"/>
      <c r="P31" s="92"/>
      <c r="Q31" s="92"/>
      <c r="R31" s="92"/>
      <c r="S31" s="92"/>
    </row>
    <row r="32" spans="1:19" ht="12.75">
      <c r="A32" s="54"/>
      <c r="B32" s="200" t="s">
        <v>1620</v>
      </c>
      <c r="C32" s="147">
        <v>24</v>
      </c>
      <c r="D32" s="55">
        <f t="shared" si="1"/>
        <v>0.8465750905226871</v>
      </c>
      <c r="E32" s="160"/>
      <c r="F32" s="97" t="s">
        <v>321</v>
      </c>
      <c r="G32" s="54"/>
      <c r="H32" s="54"/>
      <c r="I32" s="92" t="s">
        <v>1287</v>
      </c>
      <c r="J32" s="92"/>
      <c r="K32" s="92"/>
      <c r="L32" s="92"/>
      <c r="M32" s="92"/>
      <c r="N32" s="92"/>
      <c r="O32" s="92"/>
      <c r="P32" s="92"/>
      <c r="Q32" s="92"/>
      <c r="R32" s="92"/>
      <c r="S32" s="92"/>
    </row>
    <row r="33" spans="1:19" ht="12.75">
      <c r="A33" s="54"/>
      <c r="B33" s="66" t="s">
        <v>1620</v>
      </c>
      <c r="C33" s="54">
        <v>36</v>
      </c>
      <c r="D33" s="55">
        <f t="shared" si="1"/>
        <v>1.2698626357840306</v>
      </c>
      <c r="E33" s="55"/>
      <c r="F33" s="147" t="s">
        <v>322</v>
      </c>
      <c r="G33" s="54"/>
      <c r="H33" s="54"/>
      <c r="I33" s="150" t="s">
        <v>1286</v>
      </c>
      <c r="J33" s="92"/>
      <c r="K33" s="92"/>
      <c r="L33" s="92"/>
      <c r="M33" s="92"/>
      <c r="N33" s="92"/>
      <c r="O33" s="92"/>
      <c r="P33" s="92"/>
      <c r="Q33" s="92"/>
      <c r="R33" s="92"/>
      <c r="S33" s="92"/>
    </row>
    <row r="34" spans="1:19" ht="12.75">
      <c r="A34" s="54"/>
      <c r="B34" s="200" t="s">
        <v>1620</v>
      </c>
      <c r="C34" s="61">
        <v>277</v>
      </c>
      <c r="D34" s="55">
        <f t="shared" si="1"/>
        <v>9.770887503116013</v>
      </c>
      <c r="E34" s="55">
        <f>D34/16</f>
        <v>0.6106804689447508</v>
      </c>
      <c r="F34" s="96" t="s">
        <v>2019</v>
      </c>
      <c r="G34" s="87"/>
      <c r="H34" s="54"/>
      <c r="I34" s="139" t="s">
        <v>2020</v>
      </c>
      <c r="J34" s="92"/>
      <c r="K34" s="92"/>
      <c r="L34" s="92"/>
      <c r="M34" s="92"/>
      <c r="N34" s="92"/>
      <c r="O34" s="92"/>
      <c r="P34" s="92"/>
      <c r="Q34" s="92"/>
      <c r="R34" s="92"/>
      <c r="S34" s="92"/>
    </row>
    <row r="35" spans="1:19" ht="12.75">
      <c r="A35" s="54"/>
      <c r="B35" s="66" t="s">
        <v>1620</v>
      </c>
      <c r="C35" s="54">
        <v>5</v>
      </c>
      <c r="D35" s="55">
        <f t="shared" si="1"/>
        <v>0.1763698105255598</v>
      </c>
      <c r="E35" s="55"/>
      <c r="F35" s="54" t="s">
        <v>28</v>
      </c>
      <c r="G35" s="54"/>
      <c r="H35" s="54"/>
      <c r="I35" s="150" t="s">
        <v>1289</v>
      </c>
      <c r="J35" s="92"/>
      <c r="K35" s="92"/>
      <c r="L35" s="92"/>
      <c r="M35" s="92"/>
      <c r="N35" s="92"/>
      <c r="O35" s="92"/>
      <c r="P35" s="92"/>
      <c r="Q35" s="92"/>
      <c r="R35" s="92"/>
      <c r="S35" s="92"/>
    </row>
    <row r="36" spans="1:19" ht="12.75">
      <c r="A36" s="54"/>
      <c r="B36" s="66" t="s">
        <v>1620</v>
      </c>
      <c r="C36" s="54">
        <v>18</v>
      </c>
      <c r="D36" s="55">
        <f t="shared" si="1"/>
        <v>0.6349313178920153</v>
      </c>
      <c r="E36" s="54"/>
      <c r="F36" s="54" t="s">
        <v>26</v>
      </c>
      <c r="G36" s="54"/>
      <c r="H36" s="54"/>
      <c r="I36" s="150" t="s">
        <v>27</v>
      </c>
      <c r="J36" s="92"/>
      <c r="K36" s="92"/>
      <c r="L36" s="92"/>
      <c r="M36" s="92"/>
      <c r="N36" s="92"/>
      <c r="O36" s="92"/>
      <c r="P36" s="92"/>
      <c r="Q36" s="92"/>
      <c r="R36" s="92"/>
      <c r="S36" s="92"/>
    </row>
    <row r="37" spans="1:19" ht="12.75">
      <c r="A37" s="54"/>
      <c r="B37" s="66" t="s">
        <v>1620</v>
      </c>
      <c r="C37" s="57">
        <f>46/4</f>
        <v>11.5</v>
      </c>
      <c r="D37" s="55">
        <f t="shared" si="1"/>
        <v>0.40565056420878753</v>
      </c>
      <c r="E37" s="55"/>
      <c r="F37" s="147" t="s">
        <v>1776</v>
      </c>
      <c r="G37" s="87"/>
      <c r="H37" s="54"/>
      <c r="I37" s="138" t="s">
        <v>1478</v>
      </c>
      <c r="J37" s="92"/>
      <c r="K37" s="94"/>
      <c r="L37" s="92"/>
      <c r="M37" s="92"/>
      <c r="N37" s="92"/>
      <c r="O37" s="92"/>
      <c r="P37" s="92"/>
      <c r="Q37" s="92"/>
      <c r="R37" s="92"/>
      <c r="S37" s="92"/>
    </row>
    <row r="38" spans="1:19" ht="13.5" thickBot="1">
      <c r="A38" s="54"/>
      <c r="B38" s="73" t="s">
        <v>1620</v>
      </c>
      <c r="C38" s="57">
        <v>57</v>
      </c>
      <c r="D38" s="55">
        <f t="shared" si="1"/>
        <v>2.010615839991382</v>
      </c>
      <c r="E38" s="55"/>
      <c r="F38" s="58" t="s">
        <v>1315</v>
      </c>
      <c r="G38" s="54"/>
      <c r="H38" s="54"/>
      <c r="I38" s="126" t="s">
        <v>2093</v>
      </c>
      <c r="J38" s="92"/>
      <c r="K38" s="92"/>
      <c r="L38" s="92"/>
      <c r="M38" s="92"/>
      <c r="N38" s="92"/>
      <c r="O38" s="92"/>
      <c r="P38" s="92"/>
      <c r="Q38" s="92"/>
      <c r="R38" s="92"/>
      <c r="S38" s="92"/>
    </row>
    <row r="39" spans="1:19" ht="13.5" thickBot="1">
      <c r="A39" s="132"/>
      <c r="B39" s="159"/>
      <c r="C39" s="66"/>
      <c r="D39" s="55">
        <f t="shared" si="1"/>
        <v>0</v>
      </c>
      <c r="E39" s="55">
        <f aca="true" t="shared" si="2" ref="E39:E47">D39/16</f>
        <v>0</v>
      </c>
      <c r="F39" s="54" t="s">
        <v>1186</v>
      </c>
      <c r="G39" s="54"/>
      <c r="H39" s="54"/>
      <c r="I39" s="152" t="s">
        <v>1187</v>
      </c>
      <c r="J39" s="92"/>
      <c r="K39" s="92"/>
      <c r="L39" s="92"/>
      <c r="M39" s="92"/>
      <c r="N39" s="55">
        <f>M39/28.349523</f>
        <v>0</v>
      </c>
      <c r="O39" s="92" t="s">
        <v>2016</v>
      </c>
      <c r="P39" s="92"/>
      <c r="Q39" s="92"/>
      <c r="R39" s="92"/>
      <c r="S39" s="92"/>
    </row>
    <row r="40" spans="1:19" ht="13.5" thickBot="1">
      <c r="A40" s="132"/>
      <c r="B40" s="159"/>
      <c r="C40" s="66"/>
      <c r="D40" s="55">
        <f t="shared" si="1"/>
        <v>0</v>
      </c>
      <c r="E40" s="55">
        <f t="shared" si="2"/>
        <v>0</v>
      </c>
      <c r="F40" s="54" t="s">
        <v>1278</v>
      </c>
      <c r="G40" s="54"/>
      <c r="H40" s="54"/>
      <c r="I40" s="152" t="s">
        <v>1279</v>
      </c>
      <c r="J40" s="92"/>
      <c r="K40" s="92"/>
      <c r="L40" s="92"/>
      <c r="M40" s="92"/>
      <c r="N40" s="55">
        <f>M40/28.349523</f>
        <v>0</v>
      </c>
      <c r="O40" s="92" t="s">
        <v>2016</v>
      </c>
      <c r="P40" s="92"/>
      <c r="Q40" s="92"/>
      <c r="R40" s="92"/>
      <c r="S40" s="92"/>
    </row>
    <row r="41" spans="1:19" ht="12.75">
      <c r="A41" s="54"/>
      <c r="B41" s="66" t="s">
        <v>1410</v>
      </c>
      <c r="C41" s="57">
        <f>J41+L41</f>
        <v>1607</v>
      </c>
      <c r="D41" s="55">
        <f t="shared" si="1"/>
        <v>56.685257102914925</v>
      </c>
      <c r="E41" s="55">
        <f t="shared" si="2"/>
        <v>3.542828568932183</v>
      </c>
      <c r="F41" s="96" t="s">
        <v>653</v>
      </c>
      <c r="G41" s="54"/>
      <c r="H41" s="54"/>
      <c r="I41" s="92" t="s">
        <v>1463</v>
      </c>
      <c r="J41" s="9">
        <v>702</v>
      </c>
      <c r="K41" s="92" t="s">
        <v>651</v>
      </c>
      <c r="L41" s="57">
        <v>905</v>
      </c>
      <c r="M41" s="92" t="s">
        <v>652</v>
      </c>
      <c r="N41" s="92"/>
      <c r="O41" s="92"/>
      <c r="P41" s="196">
        <f>SUM(C12:C41)</f>
        <v>3777.5</v>
      </c>
      <c r="Q41" s="55">
        <f>P41/28.349523</f>
        <v>133.24739185206045</v>
      </c>
      <c r="R41" s="55">
        <f>Q41/16</f>
        <v>8.327961990753778</v>
      </c>
      <c r="S41" s="193"/>
    </row>
    <row r="42" spans="1:19" ht="12.75">
      <c r="A42" s="54"/>
      <c r="B42" s="54" t="s">
        <v>1410</v>
      </c>
      <c r="C42" s="57">
        <v>814</v>
      </c>
      <c r="D42" s="198">
        <f t="shared" si="1"/>
        <v>28.713005153561138</v>
      </c>
      <c r="E42" s="198">
        <f t="shared" si="2"/>
        <v>1.7945628220975711</v>
      </c>
      <c r="F42" s="54" t="s">
        <v>647</v>
      </c>
      <c r="G42" s="54"/>
      <c r="H42" s="54"/>
      <c r="I42" s="92" t="s">
        <v>656</v>
      </c>
      <c r="J42" s="92"/>
      <c r="K42" s="92"/>
      <c r="L42" s="92"/>
      <c r="M42" s="92"/>
      <c r="N42" s="92"/>
      <c r="O42" s="92"/>
      <c r="P42" s="92"/>
      <c r="Q42" s="92"/>
      <c r="R42" s="92"/>
      <c r="S42" s="92"/>
    </row>
    <row r="43" spans="1:18" ht="12.75">
      <c r="A43" s="54"/>
      <c r="B43" s="54"/>
      <c r="C43" s="61">
        <v>880</v>
      </c>
      <c r="D43" s="9">
        <f t="shared" si="1"/>
        <v>31.041086652498525</v>
      </c>
      <c r="E43" s="2">
        <f t="shared" si="2"/>
        <v>1.9400679157811578</v>
      </c>
      <c r="F43" s="27" t="s">
        <v>1277</v>
      </c>
      <c r="G43" s="3"/>
      <c r="I43" s="27" t="s">
        <v>1263</v>
      </c>
      <c r="J43" s="9"/>
      <c r="R43" s="3"/>
    </row>
    <row r="44" spans="1:19" ht="12.75">
      <c r="A44" s="54"/>
      <c r="B44" s="54"/>
      <c r="C44" s="57">
        <v>97</v>
      </c>
      <c r="D44" s="198">
        <f t="shared" si="1"/>
        <v>3.42157432419586</v>
      </c>
      <c r="E44" s="55">
        <f t="shared" si="2"/>
        <v>0.21384839526224125</v>
      </c>
      <c r="F44" s="54" t="s">
        <v>1445</v>
      </c>
      <c r="G44" s="54"/>
      <c r="H44" s="54"/>
      <c r="I44" s="92" t="s">
        <v>1188</v>
      </c>
      <c r="J44" s="92"/>
      <c r="K44" s="92"/>
      <c r="L44" s="92"/>
      <c r="M44" s="92"/>
      <c r="N44" s="92"/>
      <c r="O44" s="92"/>
      <c r="P44" s="92"/>
      <c r="Q44" s="92"/>
      <c r="R44" s="92"/>
      <c r="S44" s="92"/>
    </row>
    <row r="45" spans="1:19" ht="12.75">
      <c r="A45" s="54"/>
      <c r="B45" s="66"/>
      <c r="C45" s="57">
        <v>832</v>
      </c>
      <c r="D45" s="55">
        <f t="shared" si="1"/>
        <v>29.347936471453153</v>
      </c>
      <c r="E45" s="55">
        <f t="shared" si="2"/>
        <v>1.834246029465822</v>
      </c>
      <c r="F45" s="62" t="s">
        <v>1830</v>
      </c>
      <c r="G45" s="54"/>
      <c r="H45" s="54"/>
      <c r="I45" s="93" t="s">
        <v>1203</v>
      </c>
      <c r="J45" s="92"/>
      <c r="K45" s="94"/>
      <c r="L45" s="93"/>
      <c r="M45" s="175"/>
      <c r="N45" s="93"/>
      <c r="O45" s="175"/>
      <c r="P45" s="92"/>
      <c r="Q45" s="92"/>
      <c r="R45" s="92"/>
      <c r="S45" s="92"/>
    </row>
    <row r="46" spans="1:19" ht="12.75">
      <c r="A46" s="54"/>
      <c r="B46" s="66" t="s">
        <v>1410</v>
      </c>
      <c r="C46" s="61">
        <v>158</v>
      </c>
      <c r="D46" s="55">
        <f t="shared" si="1"/>
        <v>5.5732860126076895</v>
      </c>
      <c r="E46" s="55">
        <f t="shared" si="2"/>
        <v>0.3483303757879806</v>
      </c>
      <c r="F46" s="62" t="s">
        <v>1625</v>
      </c>
      <c r="G46" s="54"/>
      <c r="H46" s="54"/>
      <c r="I46" s="139" t="s">
        <v>1527</v>
      </c>
      <c r="J46" s="92"/>
      <c r="K46" s="94"/>
      <c r="L46" s="93"/>
      <c r="M46" s="175"/>
      <c r="N46" s="93"/>
      <c r="O46" s="175"/>
      <c r="P46" s="92"/>
      <c r="Q46" s="92"/>
      <c r="R46" s="92"/>
      <c r="S46" s="92"/>
    </row>
    <row r="47" spans="1:19" ht="12.75">
      <c r="A47" s="54"/>
      <c r="B47" s="66" t="s">
        <v>1410</v>
      </c>
      <c r="C47" s="61">
        <v>362</v>
      </c>
      <c r="D47" s="55">
        <f t="shared" si="1"/>
        <v>12.76917428205053</v>
      </c>
      <c r="E47" s="55">
        <f t="shared" si="2"/>
        <v>0.7980733926281581</v>
      </c>
      <c r="F47" s="148" t="s">
        <v>1831</v>
      </c>
      <c r="G47" s="54"/>
      <c r="H47" s="54"/>
      <c r="I47" s="139" t="s">
        <v>997</v>
      </c>
      <c r="J47" s="92"/>
      <c r="K47" s="92"/>
      <c r="L47" s="92"/>
      <c r="M47" s="92"/>
      <c r="N47" s="92"/>
      <c r="O47" s="92"/>
      <c r="P47" s="92"/>
      <c r="Q47" s="92"/>
      <c r="R47" s="92"/>
      <c r="S47" s="92"/>
    </row>
    <row r="48" spans="1:19" ht="12.75">
      <c r="A48" s="54"/>
      <c r="B48" s="66" t="s">
        <v>449</v>
      </c>
      <c r="C48" s="57">
        <v>102</v>
      </c>
      <c r="D48" s="55">
        <f t="shared" si="1"/>
        <v>3.59794413472142</v>
      </c>
      <c r="E48" s="55"/>
      <c r="F48" s="54" t="s">
        <v>1682</v>
      </c>
      <c r="G48" s="87"/>
      <c r="H48" s="54"/>
      <c r="I48" s="92" t="s">
        <v>993</v>
      </c>
      <c r="J48" s="92"/>
      <c r="K48" s="92"/>
      <c r="L48" s="92"/>
      <c r="M48" s="92"/>
      <c r="N48" s="94"/>
      <c r="O48" s="92"/>
      <c r="P48" s="134"/>
      <c r="Q48" s="92"/>
      <c r="R48" s="92"/>
      <c r="S48" s="92"/>
    </row>
    <row r="49" spans="1:19" ht="13.5" thickBot="1">
      <c r="A49" s="54"/>
      <c r="B49" s="73" t="s">
        <v>239</v>
      </c>
      <c r="C49" s="57">
        <f>SUM(C3:C48)</f>
        <v>7327.5</v>
      </c>
      <c r="D49" s="57">
        <f t="shared" si="1"/>
        <v>258.4699573252079</v>
      </c>
      <c r="E49" s="55">
        <f>D49/16</f>
        <v>16.154372332825492</v>
      </c>
      <c r="F49" s="54" t="s">
        <v>435</v>
      </c>
      <c r="G49" s="87"/>
      <c r="H49" s="54"/>
      <c r="I49" s="92"/>
      <c r="J49" s="92"/>
      <c r="K49" s="92"/>
      <c r="L49" s="92"/>
      <c r="M49" s="92"/>
      <c r="N49" s="94"/>
      <c r="O49" s="92"/>
      <c r="P49" s="134"/>
      <c r="Q49" s="92"/>
      <c r="R49" s="92"/>
      <c r="S49" s="92"/>
    </row>
    <row r="50" spans="1:19" ht="13.5" thickBot="1">
      <c r="A50" s="132"/>
      <c r="B50" s="159"/>
      <c r="C50" s="103">
        <f>'Tom Food'!B31</f>
        <v>1672</v>
      </c>
      <c r="D50" s="57">
        <f t="shared" si="1"/>
        <v>58.978064639747195</v>
      </c>
      <c r="E50" s="55">
        <f>D50/16</f>
        <v>3.6861290399841997</v>
      </c>
      <c r="F50" s="180" t="s">
        <v>1311</v>
      </c>
      <c r="G50" s="87"/>
      <c r="H50" s="54"/>
      <c r="I50" s="92"/>
      <c r="J50" s="92"/>
      <c r="K50" s="92"/>
      <c r="L50" s="92"/>
      <c r="M50" s="92"/>
      <c r="N50" s="94"/>
      <c r="O50" s="92"/>
      <c r="P50" s="134"/>
      <c r="Q50" s="92"/>
      <c r="R50" s="92"/>
      <c r="S50" s="92"/>
    </row>
    <row r="51" spans="1:19" ht="12.75">
      <c r="A51" s="54"/>
      <c r="B51" s="155" t="s">
        <v>239</v>
      </c>
      <c r="C51" s="57">
        <f>C49+C50</f>
        <v>8999.5</v>
      </c>
      <c r="D51" s="57">
        <f t="shared" si="1"/>
        <v>317.4480219649551</v>
      </c>
      <c r="E51" s="55">
        <f>D51/16</f>
        <v>19.840501372809694</v>
      </c>
      <c r="F51" s="180" t="s">
        <v>677</v>
      </c>
      <c r="G51" s="87"/>
      <c r="H51" s="54"/>
      <c r="I51" s="92"/>
      <c r="J51" s="92"/>
      <c r="K51" s="92"/>
      <c r="L51" s="92"/>
      <c r="M51" s="92"/>
      <c r="N51" s="94"/>
      <c r="O51" s="92"/>
      <c r="P51" s="134"/>
      <c r="Q51" s="92"/>
      <c r="R51" s="92"/>
      <c r="S51" s="92"/>
    </row>
    <row r="52" spans="1:19" ht="12.75">
      <c r="A52" s="54"/>
      <c r="B52" s="66" t="s">
        <v>2009</v>
      </c>
      <c r="C52" s="57">
        <v>135</v>
      </c>
      <c r="D52" s="55">
        <f t="shared" si="1"/>
        <v>4.761984884190115</v>
      </c>
      <c r="E52" s="55">
        <f>D52/16</f>
        <v>0.2976240552618822</v>
      </c>
      <c r="F52" s="97" t="s">
        <v>399</v>
      </c>
      <c r="G52" s="54"/>
      <c r="H52" s="54"/>
      <c r="I52" s="95" t="s">
        <v>7</v>
      </c>
      <c r="J52" s="92"/>
      <c r="K52" s="92"/>
      <c r="L52" s="92"/>
      <c r="M52" s="92"/>
      <c r="N52" s="92"/>
      <c r="O52" s="92"/>
      <c r="P52" s="92"/>
      <c r="Q52" s="92"/>
      <c r="R52" s="92"/>
      <c r="S52" s="92"/>
    </row>
    <row r="53" spans="1:19" ht="12.75">
      <c r="A53" s="54"/>
      <c r="B53" s="202" t="s">
        <v>2009</v>
      </c>
      <c r="C53" s="185">
        <v>16</v>
      </c>
      <c r="D53" s="179"/>
      <c r="E53" s="179"/>
      <c r="F53" s="172" t="s">
        <v>1328</v>
      </c>
      <c r="G53" s="186"/>
      <c r="H53" s="172"/>
      <c r="I53" s="92" t="s">
        <v>1113</v>
      </c>
      <c r="J53" s="92"/>
      <c r="K53" s="92"/>
      <c r="L53" s="92"/>
      <c r="M53" s="92"/>
      <c r="N53" s="94"/>
      <c r="O53" s="92"/>
      <c r="P53" s="134"/>
      <c r="Q53" s="92"/>
      <c r="R53" s="92"/>
      <c r="S53" s="92"/>
    </row>
    <row r="54" spans="1:20" ht="12.75">
      <c r="A54" s="54"/>
      <c r="B54" t="s">
        <v>2009</v>
      </c>
      <c r="C54" s="185">
        <v>14</v>
      </c>
      <c r="D54" s="179"/>
      <c r="E54" s="186"/>
      <c r="F54" s="188" t="s">
        <v>1112</v>
      </c>
      <c r="G54" s="172"/>
      <c r="H54" s="172"/>
      <c r="I54" s="149" t="s">
        <v>1114</v>
      </c>
      <c r="J54" s="92"/>
      <c r="K54" s="92"/>
      <c r="L54" s="92"/>
      <c r="M54" s="92"/>
      <c r="N54" s="92"/>
      <c r="O54" s="92"/>
      <c r="P54" s="92"/>
      <c r="Q54" s="92"/>
      <c r="R54" s="92"/>
      <c r="S54" s="92"/>
      <c r="T54" s="92"/>
    </row>
    <row r="55" spans="1:19" ht="12.75">
      <c r="A55" s="54"/>
      <c r="B55" s="66" t="s">
        <v>2009</v>
      </c>
      <c r="C55" s="54">
        <v>29</v>
      </c>
      <c r="D55" s="55">
        <f aca="true" t="shared" si="3" ref="D55:D66">C55/28.349523</f>
        <v>1.0229449010482468</v>
      </c>
      <c r="E55" s="54"/>
      <c r="F55" s="54" t="s">
        <v>657</v>
      </c>
      <c r="G55" s="54"/>
      <c r="H55" s="54"/>
      <c r="I55" s="66" t="s">
        <v>1619</v>
      </c>
      <c r="J55" s="92"/>
      <c r="K55" s="92"/>
      <c r="L55" s="92"/>
      <c r="M55" s="92"/>
      <c r="N55" s="92"/>
      <c r="O55" s="92"/>
      <c r="P55" s="92"/>
      <c r="Q55" s="92"/>
      <c r="R55" s="92"/>
      <c r="S55" s="92"/>
    </row>
    <row r="56" spans="1:20" ht="12.75">
      <c r="A56" s="54"/>
      <c r="B56" s="200" t="s">
        <v>2009</v>
      </c>
      <c r="C56" s="57">
        <v>253</v>
      </c>
      <c r="D56" s="55">
        <f t="shared" si="3"/>
        <v>8.924312412593325</v>
      </c>
      <c r="E56" s="55">
        <f>D56/16</f>
        <v>0.5577695257870828</v>
      </c>
      <c r="F56" s="118" t="s">
        <v>34</v>
      </c>
      <c r="G56" s="54"/>
      <c r="H56" s="54"/>
      <c r="I56" s="149" t="s">
        <v>35</v>
      </c>
      <c r="J56" s="92"/>
      <c r="K56" s="92"/>
      <c r="L56" s="92"/>
      <c r="M56" s="92"/>
      <c r="N56" s="92"/>
      <c r="O56" s="92"/>
      <c r="P56" s="92"/>
      <c r="Q56" s="92"/>
      <c r="R56" s="92"/>
      <c r="S56" s="92"/>
      <c r="T56" s="92"/>
    </row>
    <row r="57" spans="1:19" ht="12.75">
      <c r="A57" s="54"/>
      <c r="B57" s="66" t="s">
        <v>2009</v>
      </c>
      <c r="C57" s="54">
        <v>34</v>
      </c>
      <c r="D57" s="55">
        <f t="shared" si="3"/>
        <v>1.1993147115738068</v>
      </c>
      <c r="E57" s="54"/>
      <c r="F57" s="54" t="s">
        <v>2083</v>
      </c>
      <c r="G57" s="54"/>
      <c r="H57" s="54"/>
      <c r="I57" s="92" t="s">
        <v>2084</v>
      </c>
      <c r="J57" s="92"/>
      <c r="K57" s="92"/>
      <c r="L57" s="92"/>
      <c r="M57" s="92"/>
      <c r="N57" s="92"/>
      <c r="O57" s="92"/>
      <c r="P57" s="92"/>
      <c r="Q57" s="92"/>
      <c r="R57" s="92"/>
      <c r="S57" s="92"/>
    </row>
    <row r="58" spans="1:19" ht="12.75">
      <c r="A58" s="54"/>
      <c r="B58" s="66" t="s">
        <v>2009</v>
      </c>
      <c r="C58" s="54">
        <v>44</v>
      </c>
      <c r="D58" s="55">
        <f t="shared" si="3"/>
        <v>1.5520543326249263</v>
      </c>
      <c r="E58" s="54"/>
      <c r="F58" s="54" t="s">
        <v>1767</v>
      </c>
      <c r="G58" s="54"/>
      <c r="H58" s="54"/>
      <c r="I58" s="92" t="s">
        <v>1768</v>
      </c>
      <c r="J58" s="92"/>
      <c r="K58" s="92"/>
      <c r="L58" s="92"/>
      <c r="M58" s="92"/>
      <c r="N58" s="92"/>
      <c r="O58" s="92"/>
      <c r="P58" s="92"/>
      <c r="Q58" s="92"/>
      <c r="R58" s="92"/>
      <c r="S58" s="92"/>
    </row>
    <row r="59" spans="1:19" ht="12.75">
      <c r="A59" s="54"/>
      <c r="B59" s="66" t="s">
        <v>2009</v>
      </c>
      <c r="C59" s="57">
        <v>324</v>
      </c>
      <c r="D59" s="55">
        <f t="shared" si="3"/>
        <v>11.428763722056276</v>
      </c>
      <c r="E59" s="55">
        <f>D59/16</f>
        <v>0.7142977326285173</v>
      </c>
      <c r="F59" s="54" t="s">
        <v>2014</v>
      </c>
      <c r="G59" s="87"/>
      <c r="H59" s="54"/>
      <c r="I59" s="92" t="s">
        <v>2015</v>
      </c>
      <c r="J59" s="92"/>
      <c r="K59" s="92"/>
      <c r="L59" s="92"/>
      <c r="M59" s="92"/>
      <c r="N59" s="92"/>
      <c r="O59" s="92"/>
      <c r="P59" s="92"/>
      <c r="Q59" s="92"/>
      <c r="R59" s="92"/>
      <c r="S59" s="92"/>
    </row>
    <row r="60" spans="1:19" ht="12.75">
      <c r="A60" s="54"/>
      <c r="B60" s="66" t="s">
        <v>2009</v>
      </c>
      <c r="C60" s="54">
        <v>107</v>
      </c>
      <c r="D60" s="55">
        <f t="shared" si="3"/>
        <v>3.7743139452469796</v>
      </c>
      <c r="E60" s="55"/>
      <c r="F60" s="54" t="s">
        <v>658</v>
      </c>
      <c r="G60" s="54"/>
      <c r="H60" s="54"/>
      <c r="I60" s="66" t="s">
        <v>785</v>
      </c>
      <c r="J60" s="92"/>
      <c r="K60" s="92"/>
      <c r="L60" s="92"/>
      <c r="M60" s="92"/>
      <c r="N60" s="92"/>
      <c r="O60" s="92"/>
      <c r="P60" s="92"/>
      <c r="Q60" s="92"/>
      <c r="R60" s="92"/>
      <c r="S60" s="92"/>
    </row>
    <row r="61" spans="1:19" ht="12.75">
      <c r="A61" s="54"/>
      <c r="B61" s="66" t="s">
        <v>2009</v>
      </c>
      <c r="C61" s="54">
        <v>50</v>
      </c>
      <c r="D61" s="55">
        <f t="shared" si="3"/>
        <v>1.763698105255598</v>
      </c>
      <c r="E61" s="54"/>
      <c r="F61" s="54" t="s">
        <v>137</v>
      </c>
      <c r="G61" s="54"/>
      <c r="H61" s="54"/>
      <c r="I61" s="66" t="s">
        <v>786</v>
      </c>
      <c r="J61" s="92"/>
      <c r="K61" s="92"/>
      <c r="L61" s="92"/>
      <c r="M61" s="92"/>
      <c r="N61" s="92"/>
      <c r="O61" s="92"/>
      <c r="P61" s="92"/>
      <c r="Q61" s="92"/>
      <c r="R61" s="92"/>
      <c r="S61" s="92"/>
    </row>
    <row r="62" spans="1:19" ht="12.75">
      <c r="A62" s="54"/>
      <c r="B62" s="66" t="s">
        <v>2009</v>
      </c>
      <c r="C62" s="54">
        <f>177+85</f>
        <v>262</v>
      </c>
      <c r="D62" s="55">
        <f t="shared" si="3"/>
        <v>9.241778071539335</v>
      </c>
      <c r="E62" s="55">
        <f>D62/16</f>
        <v>0.5776111294712084</v>
      </c>
      <c r="F62" s="54" t="s">
        <v>1281</v>
      </c>
      <c r="G62" s="54"/>
      <c r="H62" s="54"/>
      <c r="I62" s="92" t="s">
        <v>1282</v>
      </c>
      <c r="J62" s="92"/>
      <c r="K62" s="92"/>
      <c r="L62" s="92"/>
      <c r="M62" s="92"/>
      <c r="N62" s="92"/>
      <c r="O62" s="92"/>
      <c r="P62" s="92"/>
      <c r="Q62" s="92"/>
      <c r="R62" s="92"/>
      <c r="S62" s="92"/>
    </row>
    <row r="63" spans="1:19" ht="12.75">
      <c r="A63" s="54"/>
      <c r="B63" s="66" t="s">
        <v>2009</v>
      </c>
      <c r="C63" s="54">
        <v>35</v>
      </c>
      <c r="D63" s="55">
        <f t="shared" si="3"/>
        <v>1.2345886736789187</v>
      </c>
      <c r="E63" s="55"/>
      <c r="F63" s="147" t="s">
        <v>322</v>
      </c>
      <c r="G63" s="54"/>
      <c r="H63" s="54"/>
      <c r="I63" s="150" t="s">
        <v>2018</v>
      </c>
      <c r="J63" s="92"/>
      <c r="K63" s="92"/>
      <c r="L63" s="92"/>
      <c r="M63" s="92"/>
      <c r="N63" s="92"/>
      <c r="O63" s="92"/>
      <c r="P63" s="92"/>
      <c r="Q63" s="92"/>
      <c r="R63" s="92"/>
      <c r="S63" s="92"/>
    </row>
    <row r="64" spans="1:19" ht="12.75">
      <c r="A64" s="54"/>
      <c r="B64" s="200" t="s">
        <v>2009</v>
      </c>
      <c r="C64" s="57">
        <v>40</v>
      </c>
      <c r="D64" s="55">
        <f t="shared" si="3"/>
        <v>1.4109584842044784</v>
      </c>
      <c r="E64" s="55"/>
      <c r="F64" s="56" t="s">
        <v>1172</v>
      </c>
      <c r="G64" s="54"/>
      <c r="H64" s="54"/>
      <c r="I64" s="150" t="s">
        <v>22</v>
      </c>
      <c r="J64" s="92"/>
      <c r="K64" s="92"/>
      <c r="L64" s="92"/>
      <c r="M64" s="92"/>
      <c r="N64" s="92"/>
      <c r="O64" s="92"/>
      <c r="P64" s="92"/>
      <c r="Q64" s="92"/>
      <c r="R64" s="92"/>
      <c r="S64" s="92"/>
    </row>
    <row r="65" spans="1:19" ht="12.75">
      <c r="A65" s="54"/>
      <c r="B65" s="200" t="s">
        <v>2009</v>
      </c>
      <c r="C65" s="147">
        <v>23</v>
      </c>
      <c r="D65" s="55">
        <f t="shared" si="3"/>
        <v>0.8113011284175751</v>
      </c>
      <c r="E65" s="160"/>
      <c r="F65" s="97" t="s">
        <v>321</v>
      </c>
      <c r="G65" s="54"/>
      <c r="H65" s="54"/>
      <c r="I65" s="92" t="s">
        <v>21</v>
      </c>
      <c r="J65" s="92"/>
      <c r="K65" s="92"/>
      <c r="L65" s="92"/>
      <c r="M65" s="92"/>
      <c r="N65" s="92"/>
      <c r="O65" s="92"/>
      <c r="P65" s="92"/>
      <c r="Q65" s="92"/>
      <c r="R65" s="92"/>
      <c r="S65" s="92"/>
    </row>
    <row r="66" spans="1:19" ht="12.75">
      <c r="A66" s="54"/>
      <c r="B66" s="200" t="s">
        <v>2009</v>
      </c>
      <c r="C66" s="57">
        <v>60</v>
      </c>
      <c r="D66" s="55">
        <f t="shared" si="3"/>
        <v>2.116437726306718</v>
      </c>
      <c r="E66" s="55"/>
      <c r="F66" s="56" t="s">
        <v>24</v>
      </c>
      <c r="G66" s="54"/>
      <c r="H66" s="54"/>
      <c r="I66" s="92"/>
      <c r="J66" s="92"/>
      <c r="K66" s="92"/>
      <c r="L66" s="92"/>
      <c r="M66" s="92"/>
      <c r="N66" s="92"/>
      <c r="O66" s="92"/>
      <c r="P66" s="92"/>
      <c r="Q66" s="92"/>
      <c r="R66" s="92"/>
      <c r="S66" s="92"/>
    </row>
    <row r="67" spans="1:19" ht="12.75">
      <c r="A67" s="54"/>
      <c r="B67" s="201" t="s">
        <v>2009</v>
      </c>
      <c r="C67" s="57"/>
      <c r="D67" s="55"/>
      <c r="F67" s="56" t="s">
        <v>599</v>
      </c>
      <c r="G67" s="54"/>
      <c r="H67" s="54"/>
      <c r="I67" s="92"/>
      <c r="J67" s="92"/>
      <c r="K67" s="92"/>
      <c r="L67" s="92"/>
      <c r="M67" s="92"/>
      <c r="N67" s="92"/>
      <c r="O67" s="92"/>
      <c r="P67" s="92"/>
      <c r="Q67" s="92"/>
      <c r="R67" s="92"/>
      <c r="S67" s="92"/>
    </row>
    <row r="68" spans="1:19" ht="13.5" thickBot="1">
      <c r="A68" s="54"/>
      <c r="B68" s="201" t="s">
        <v>2009</v>
      </c>
      <c r="C68" s="57">
        <v>1455</v>
      </c>
      <c r="D68" s="55">
        <f>C68/28.349523</f>
        <v>51.3236148629379</v>
      </c>
      <c r="E68" s="55">
        <f>D68/16</f>
        <v>3.207725928933619</v>
      </c>
      <c r="F68" s="56" t="s">
        <v>25</v>
      </c>
      <c r="G68" s="54"/>
      <c r="H68" s="54"/>
      <c r="I68" s="92"/>
      <c r="J68" s="92"/>
      <c r="K68" s="92"/>
      <c r="L68" s="92"/>
      <c r="M68" s="92"/>
      <c r="N68" s="92"/>
      <c r="O68" s="92"/>
      <c r="P68" s="92"/>
      <c r="Q68" s="92"/>
      <c r="R68" s="92"/>
      <c r="S68" s="92"/>
    </row>
    <row r="69" spans="1:19" ht="13.5" thickBot="1">
      <c r="A69" s="132"/>
      <c r="B69" s="159"/>
      <c r="C69" s="103">
        <v>57</v>
      </c>
      <c r="D69" s="55">
        <f>C69/28.349523</f>
        <v>2.010615839991382</v>
      </c>
      <c r="E69" s="55"/>
      <c r="F69" s="54" t="s">
        <v>1194</v>
      </c>
      <c r="G69" s="87"/>
      <c r="H69" s="54"/>
      <c r="I69" s="92" t="s">
        <v>439</v>
      </c>
      <c r="J69" s="92"/>
      <c r="K69" s="92"/>
      <c r="L69" s="92"/>
      <c r="M69" s="92"/>
      <c r="N69" s="92"/>
      <c r="O69" s="92"/>
      <c r="P69" s="92"/>
      <c r="Q69" s="92"/>
      <c r="R69" s="92"/>
      <c r="S69" s="92"/>
    </row>
    <row r="70" spans="1:19" ht="12.75">
      <c r="A70" s="54"/>
      <c r="B70" s="202" t="s">
        <v>239</v>
      </c>
      <c r="C70" s="57">
        <f>SUM(C55:C69)</f>
        <v>2773</v>
      </c>
      <c r="D70" s="55">
        <f>C70/28.349523</f>
        <v>97.81469691747547</v>
      </c>
      <c r="E70" s="55">
        <f>D70/16</f>
        <v>6.113418557342217</v>
      </c>
      <c r="F70" s="56" t="s">
        <v>1509</v>
      </c>
      <c r="G70" s="54"/>
      <c r="H70" s="54"/>
      <c r="I70" s="92"/>
      <c r="J70" s="92"/>
      <c r="K70" s="92"/>
      <c r="L70" s="92"/>
      <c r="M70" s="92"/>
      <c r="N70" s="92"/>
      <c r="O70" s="92"/>
      <c r="P70" s="92"/>
      <c r="Q70" s="92"/>
      <c r="R70" s="92"/>
      <c r="S70" s="92"/>
    </row>
    <row r="71" spans="1:19" ht="12.75">
      <c r="A71" s="54"/>
      <c r="B71" s="147" t="s">
        <v>239</v>
      </c>
      <c r="C71" s="57">
        <f>C51+C70</f>
        <v>11772.5</v>
      </c>
      <c r="D71" s="181">
        <f>C71/28.349523</f>
        <v>415.26271888243053</v>
      </c>
      <c r="E71" s="55">
        <f>D71/16</f>
        <v>25.95391993015191</v>
      </c>
      <c r="F71" s="58" t="s">
        <v>2086</v>
      </c>
      <c r="G71" s="54"/>
      <c r="H71" s="54"/>
      <c r="I71" s="92"/>
      <c r="J71" s="92"/>
      <c r="K71" s="92"/>
      <c r="L71" s="92"/>
      <c r="M71" s="92"/>
      <c r="N71" s="92"/>
      <c r="O71" s="92"/>
      <c r="P71" s="92"/>
      <c r="Q71" s="92"/>
      <c r="R71" s="92"/>
      <c r="S71" s="92"/>
    </row>
    <row r="72" spans="1:19" ht="12.75">
      <c r="A72" s="54"/>
      <c r="B72" s="54"/>
      <c r="C72" s="54"/>
      <c r="D72" s="54"/>
      <c r="E72" s="54"/>
      <c r="F72" s="54"/>
      <c r="G72" s="54"/>
      <c r="H72" s="54"/>
      <c r="P72" s="92"/>
      <c r="Q72" s="92"/>
      <c r="R72" s="92"/>
      <c r="S72" s="92"/>
    </row>
    <row r="73" spans="1:19" ht="12.75">
      <c r="A73" s="54"/>
      <c r="B73" s="54"/>
      <c r="C73" s="54"/>
      <c r="D73" s="54"/>
      <c r="E73" s="54"/>
      <c r="F73" s="54"/>
      <c r="G73" s="54"/>
      <c r="H73" s="54"/>
      <c r="P73" s="92"/>
      <c r="Q73" s="92"/>
      <c r="R73" s="92"/>
      <c r="S73" s="92"/>
    </row>
    <row r="74" spans="1:19" ht="12.75">
      <c r="A74" s="54"/>
      <c r="B74" s="54"/>
      <c r="C74" s="54"/>
      <c r="D74" s="54"/>
      <c r="E74" s="54"/>
      <c r="F74" s="54"/>
      <c r="G74" s="54"/>
      <c r="H74" s="54"/>
      <c r="P74" s="92"/>
      <c r="Q74" s="92"/>
      <c r="R74" s="92"/>
      <c r="S74" s="92"/>
    </row>
    <row r="75" spans="1:19" ht="12.75">
      <c r="A75" s="54"/>
      <c r="B75" s="54"/>
      <c r="C75" s="54"/>
      <c r="D75" s="54"/>
      <c r="E75" s="54"/>
      <c r="F75" s="54"/>
      <c r="G75" s="54"/>
      <c r="H75" s="54"/>
      <c r="P75" s="92"/>
      <c r="Q75" s="92"/>
      <c r="R75" s="92"/>
      <c r="S75" s="92"/>
    </row>
    <row r="76" spans="1:19" ht="12.75">
      <c r="A76" s="54"/>
      <c r="B76" s="54"/>
      <c r="C76" s="54"/>
      <c r="D76" s="54"/>
      <c r="E76" s="54"/>
      <c r="F76" s="54"/>
      <c r="G76" s="54"/>
      <c r="H76" s="54"/>
      <c r="P76" s="92"/>
      <c r="Q76" s="92"/>
      <c r="R76" s="92"/>
      <c r="S76" s="92"/>
    </row>
    <row r="77" spans="1:19" ht="12.75">
      <c r="A77" s="54"/>
      <c r="B77" s="54"/>
      <c r="C77" s="54"/>
      <c r="D77" s="54"/>
      <c r="E77" s="54"/>
      <c r="F77" s="54"/>
      <c r="G77" s="54"/>
      <c r="H77" s="54"/>
      <c r="P77" s="92"/>
      <c r="Q77" s="92"/>
      <c r="R77" s="92"/>
      <c r="S77" s="92"/>
    </row>
    <row r="78" spans="1:19" ht="12.75">
      <c r="A78" s="54"/>
      <c r="B78" s="54"/>
      <c r="C78" s="54"/>
      <c r="D78" s="54"/>
      <c r="E78" s="54"/>
      <c r="F78" s="54"/>
      <c r="G78" s="54"/>
      <c r="H78" s="54"/>
      <c r="P78" s="92"/>
      <c r="Q78" s="92"/>
      <c r="R78" s="92"/>
      <c r="S78" s="92"/>
    </row>
    <row r="79" spans="1:19" ht="12.75">
      <c r="A79" s="54"/>
      <c r="B79" s="54"/>
      <c r="C79" s="54"/>
      <c r="D79" s="54"/>
      <c r="E79" s="54"/>
      <c r="F79" s="54"/>
      <c r="G79" s="54"/>
      <c r="H79" s="54"/>
      <c r="P79" s="92"/>
      <c r="Q79" s="92"/>
      <c r="R79" s="92"/>
      <c r="S79" s="92"/>
    </row>
    <row r="80" spans="1:19" ht="12.75">
      <c r="A80" s="54"/>
      <c r="B80" s="54"/>
      <c r="C80" s="54"/>
      <c r="D80" s="54"/>
      <c r="E80" s="54"/>
      <c r="F80" s="54"/>
      <c r="G80" s="54"/>
      <c r="H80" s="54"/>
      <c r="P80" s="92"/>
      <c r="Q80" s="92"/>
      <c r="R80" s="92"/>
      <c r="S80" s="92"/>
    </row>
    <row r="81" spans="1:19" ht="12.75">
      <c r="A81" s="54"/>
      <c r="B81" s="54"/>
      <c r="C81" s="54"/>
      <c r="D81" s="54"/>
      <c r="E81" s="54"/>
      <c r="F81" s="54"/>
      <c r="G81" s="54"/>
      <c r="H81" s="54"/>
      <c r="P81" s="92"/>
      <c r="Q81" s="92"/>
      <c r="R81" s="92"/>
      <c r="S81" s="92"/>
    </row>
    <row r="82" spans="1:19" ht="12.75">
      <c r="A82" s="54"/>
      <c r="B82" s="54"/>
      <c r="C82" s="54"/>
      <c r="D82" s="54"/>
      <c r="E82" s="54"/>
      <c r="F82" s="54"/>
      <c r="G82" s="54"/>
      <c r="H82" s="54"/>
      <c r="P82" s="92"/>
      <c r="Q82" s="92"/>
      <c r="R82" s="92"/>
      <c r="S82" s="92"/>
    </row>
    <row r="83" spans="1:19" ht="12.75">
      <c r="A83" s="54"/>
      <c r="B83" s="54"/>
      <c r="C83" s="54"/>
      <c r="D83" s="54"/>
      <c r="E83" s="54"/>
      <c r="F83" s="54"/>
      <c r="G83" s="54"/>
      <c r="H83" s="54"/>
      <c r="P83" s="92"/>
      <c r="Q83" s="92"/>
      <c r="R83" s="92"/>
      <c r="S83" s="92"/>
    </row>
    <row r="84" spans="1:19" ht="12.75">
      <c r="A84" s="54"/>
      <c r="B84" s="54"/>
      <c r="C84" s="54"/>
      <c r="D84" s="54"/>
      <c r="E84" s="54"/>
      <c r="F84" s="54"/>
      <c r="G84" s="54"/>
      <c r="H84" s="54"/>
      <c r="P84" s="92"/>
      <c r="Q84" s="92"/>
      <c r="R84" s="92"/>
      <c r="S84" s="92"/>
    </row>
    <row r="85" spans="1:19" ht="12.75">
      <c r="A85" s="54"/>
      <c r="B85" s="54"/>
      <c r="C85" s="54"/>
      <c r="D85" s="54"/>
      <c r="E85" s="54"/>
      <c r="F85" s="54"/>
      <c r="G85" s="54"/>
      <c r="H85" s="54"/>
      <c r="P85" s="92"/>
      <c r="Q85" s="92"/>
      <c r="R85" s="92"/>
      <c r="S85" s="92"/>
    </row>
    <row r="86" spans="1:19" ht="12.75">
      <c r="A86" s="54"/>
      <c r="B86" s="54"/>
      <c r="C86" s="54"/>
      <c r="D86" s="54"/>
      <c r="E86" s="54"/>
      <c r="F86" s="54"/>
      <c r="G86" s="54"/>
      <c r="H86" s="54"/>
      <c r="P86" s="92"/>
      <c r="Q86" s="92"/>
      <c r="R86" s="92"/>
      <c r="S86" s="92"/>
    </row>
    <row r="87" spans="1:19" ht="12.75">
      <c r="A87" s="54"/>
      <c r="B87" s="54"/>
      <c r="C87" s="54"/>
      <c r="D87" s="54"/>
      <c r="E87" s="54"/>
      <c r="F87" s="54"/>
      <c r="G87" s="54"/>
      <c r="H87" s="54"/>
      <c r="P87" s="92"/>
      <c r="Q87" s="92"/>
      <c r="R87" s="92"/>
      <c r="S87" s="92"/>
    </row>
    <row r="88" spans="1:19" ht="12.75">
      <c r="A88" s="54"/>
      <c r="B88" s="54"/>
      <c r="C88" s="54"/>
      <c r="D88" s="54"/>
      <c r="E88" s="54"/>
      <c r="F88" s="54"/>
      <c r="G88" s="54"/>
      <c r="H88" s="54"/>
      <c r="P88" s="92"/>
      <c r="Q88" s="92"/>
      <c r="R88" s="92"/>
      <c r="S88" s="92"/>
    </row>
    <row r="89" spans="1:19" ht="12.75">
      <c r="A89" s="54"/>
      <c r="B89" s="54"/>
      <c r="C89" s="54"/>
      <c r="D89" s="54"/>
      <c r="E89" s="54"/>
      <c r="F89" s="54"/>
      <c r="G89" s="54"/>
      <c r="H89" s="54"/>
      <c r="P89" s="92"/>
      <c r="Q89" s="92"/>
      <c r="R89" s="92"/>
      <c r="S89" s="92"/>
    </row>
    <row r="90" spans="1:19" ht="12.75">
      <c r="A90" s="54"/>
      <c r="B90" s="54"/>
      <c r="C90" s="54"/>
      <c r="D90" s="54"/>
      <c r="E90" s="54"/>
      <c r="F90" s="54"/>
      <c r="G90" s="54"/>
      <c r="H90" s="54"/>
      <c r="P90" s="92"/>
      <c r="Q90" s="92"/>
      <c r="R90" s="92"/>
      <c r="S90" s="92"/>
    </row>
    <row r="91" spans="1:19" ht="12.75">
      <c r="A91" s="54"/>
      <c r="B91" s="54"/>
      <c r="C91" s="54"/>
      <c r="D91" s="54"/>
      <c r="E91" s="54"/>
      <c r="F91" s="54"/>
      <c r="G91" s="54"/>
      <c r="H91" s="54"/>
      <c r="P91" s="92"/>
      <c r="Q91" s="92"/>
      <c r="R91" s="92"/>
      <c r="S91" s="92"/>
    </row>
    <row r="92" spans="1:19" ht="12.75">
      <c r="A92" s="54"/>
      <c r="B92" s="54"/>
      <c r="C92" s="54"/>
      <c r="D92" s="54"/>
      <c r="E92" s="54"/>
      <c r="F92" s="54"/>
      <c r="G92" s="54"/>
      <c r="H92" s="54"/>
      <c r="P92" s="92"/>
      <c r="Q92" s="92"/>
      <c r="R92" s="92"/>
      <c r="S92" s="92"/>
    </row>
    <row r="93" spans="1:19" ht="12.75">
      <c r="A93" s="54"/>
      <c r="B93" s="54"/>
      <c r="C93" s="54"/>
      <c r="D93" s="54"/>
      <c r="E93" s="54"/>
      <c r="F93" s="54"/>
      <c r="G93" s="54"/>
      <c r="H93" s="54"/>
      <c r="P93" s="92"/>
      <c r="Q93" s="92"/>
      <c r="R93" s="92"/>
      <c r="S93" s="92"/>
    </row>
    <row r="94" spans="1:19" ht="12.75">
      <c r="A94" s="54"/>
      <c r="B94" s="54"/>
      <c r="C94" s="54"/>
      <c r="D94" s="54"/>
      <c r="E94" s="54"/>
      <c r="F94" s="54"/>
      <c r="G94" s="54"/>
      <c r="H94" s="54"/>
      <c r="P94" s="92"/>
      <c r="Q94" s="92"/>
      <c r="R94" s="92"/>
      <c r="S94" s="92"/>
    </row>
    <row r="95" spans="1:19" ht="12.75">
      <c r="A95" s="54"/>
      <c r="B95" s="54"/>
      <c r="C95" s="54"/>
      <c r="D95" s="54"/>
      <c r="E95" s="54"/>
      <c r="F95" s="54"/>
      <c r="G95" s="54"/>
      <c r="H95" s="54"/>
      <c r="P95" s="92"/>
      <c r="Q95" s="92"/>
      <c r="R95" s="92"/>
      <c r="S95" s="92"/>
    </row>
    <row r="96" spans="1:19" ht="12.75">
      <c r="A96" s="54"/>
      <c r="B96" s="54"/>
      <c r="C96" s="54"/>
      <c r="D96" s="54"/>
      <c r="E96" s="54"/>
      <c r="F96" s="54"/>
      <c r="G96" s="54"/>
      <c r="H96" s="54"/>
      <c r="P96" s="92"/>
      <c r="Q96" s="92"/>
      <c r="R96" s="92"/>
      <c r="S96" s="92"/>
    </row>
    <row r="97" spans="16:19" ht="12.75">
      <c r="P97" s="92"/>
      <c r="Q97" s="92"/>
      <c r="R97" s="92"/>
      <c r="S97" s="92"/>
    </row>
    <row r="98" spans="16:19" ht="12.75">
      <c r="P98" s="92"/>
      <c r="Q98" s="92"/>
      <c r="R98" s="92"/>
      <c r="S98" s="92"/>
    </row>
    <row r="99" spans="16:19" ht="12.75">
      <c r="P99" s="92"/>
      <c r="Q99" s="92"/>
      <c r="R99" s="92"/>
      <c r="S99" s="92"/>
    </row>
    <row r="100" spans="16:19" ht="12.75">
      <c r="P100" s="92"/>
      <c r="Q100" s="92"/>
      <c r="R100" s="92"/>
      <c r="S100" s="92"/>
    </row>
    <row r="101" spans="16:19" ht="12.75">
      <c r="P101" s="92"/>
      <c r="Q101" s="92"/>
      <c r="R101" s="92"/>
      <c r="S101" s="92"/>
    </row>
    <row r="102" spans="16:19" ht="12.75">
      <c r="P102" s="92"/>
      <c r="Q102" s="92"/>
      <c r="R102" s="92"/>
      <c r="S102" s="92"/>
    </row>
    <row r="103" spans="16:19" ht="12.75">
      <c r="P103" s="92"/>
      <c r="Q103" s="92"/>
      <c r="R103" s="92"/>
      <c r="S103" s="92"/>
    </row>
    <row r="104" spans="16:19" ht="12.75">
      <c r="P104" s="92"/>
      <c r="Q104" s="92"/>
      <c r="R104" s="92"/>
      <c r="S104" s="92"/>
    </row>
    <row r="105" spans="16:19" ht="12.75">
      <c r="P105" s="92"/>
      <c r="Q105" s="92"/>
      <c r="R105" s="92"/>
      <c r="S105" s="92"/>
    </row>
    <row r="106" spans="16:19" ht="12.75">
      <c r="P106" s="92"/>
      <c r="Q106" s="92"/>
      <c r="R106" s="92"/>
      <c r="S106" s="92"/>
    </row>
    <row r="107" spans="16:19" ht="12.75">
      <c r="P107" s="92"/>
      <c r="Q107" s="92"/>
      <c r="R107" s="92"/>
      <c r="S107" s="92"/>
    </row>
    <row r="108" spans="16:19" ht="12.75">
      <c r="P108" s="92"/>
      <c r="Q108" s="92"/>
      <c r="R108" s="92"/>
      <c r="S108" s="92"/>
    </row>
    <row r="109" spans="16:19" ht="12.75">
      <c r="P109" s="92"/>
      <c r="Q109" s="92"/>
      <c r="R109" s="92"/>
      <c r="S109" s="92"/>
    </row>
    <row r="110" spans="16:19" ht="12.75">
      <c r="P110" s="92"/>
      <c r="Q110" s="92"/>
      <c r="R110" s="92"/>
      <c r="S110" s="92"/>
    </row>
    <row r="111" spans="16:19" ht="12.75">
      <c r="P111" s="92"/>
      <c r="Q111" s="92"/>
      <c r="R111" s="92"/>
      <c r="S111" s="92"/>
    </row>
    <row r="112" spans="16:19" ht="12.75">
      <c r="P112" s="92"/>
      <c r="Q112" s="92"/>
      <c r="R112" s="92"/>
      <c r="S112" s="92"/>
    </row>
    <row r="113" spans="16:19" ht="12.75">
      <c r="P113" s="92"/>
      <c r="Q113" s="92"/>
      <c r="R113" s="92"/>
      <c r="S113" s="92"/>
    </row>
    <row r="114" spans="16:19" ht="12.75">
      <c r="P114" s="92"/>
      <c r="Q114" s="92"/>
      <c r="R114" s="92"/>
      <c r="S114" s="92"/>
    </row>
    <row r="115" spans="16:19" ht="12.75">
      <c r="P115" s="92"/>
      <c r="Q115" s="92"/>
      <c r="R115" s="92"/>
      <c r="S115" s="92"/>
    </row>
    <row r="116" spans="16:19" ht="12.75">
      <c r="P116" s="92"/>
      <c r="Q116" s="92"/>
      <c r="R116" s="92"/>
      <c r="S116" s="92"/>
    </row>
    <row r="117" spans="16:19" ht="12.75">
      <c r="P117" s="92"/>
      <c r="Q117" s="92"/>
      <c r="R117" s="92"/>
      <c r="S117" s="92"/>
    </row>
    <row r="118" spans="16:19" ht="12.75">
      <c r="P118" s="92"/>
      <c r="Q118" s="92"/>
      <c r="R118" s="92"/>
      <c r="S118" s="92"/>
    </row>
    <row r="119" spans="16:19" ht="12.75">
      <c r="P119" s="92"/>
      <c r="Q119" s="92"/>
      <c r="R119" s="92"/>
      <c r="S119" s="92"/>
    </row>
    <row r="120" spans="16:19" ht="12.75">
      <c r="P120" s="92"/>
      <c r="Q120" s="92"/>
      <c r="R120" s="92"/>
      <c r="S120" s="92"/>
    </row>
    <row r="121" spans="16:19" ht="12.75">
      <c r="P121" s="92"/>
      <c r="Q121" s="92"/>
      <c r="R121" s="92"/>
      <c r="S121" s="92"/>
    </row>
    <row r="122" spans="16:19" ht="12.75">
      <c r="P122" s="92"/>
      <c r="Q122" s="92"/>
      <c r="R122" s="92"/>
      <c r="S122" s="92"/>
    </row>
  </sheetData>
  <printOptions/>
  <pageMargins left="0.98" right="0.75" top="1.07" bottom="1.41" header="0.12" footer="0.2"/>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A1:AD80"/>
  <sheetViews>
    <sheetView workbookViewId="0" topLeftCell="A1">
      <pane ySplit="1" topLeftCell="BM2" activePane="bottomLeft" state="frozen"/>
      <selection pane="topLeft" activeCell="A1" sqref="A1"/>
      <selection pane="bottomLeft" activeCell="A19" sqref="A19:IV19"/>
    </sheetView>
  </sheetViews>
  <sheetFormatPr defaultColWidth="9.140625" defaultRowHeight="12.75"/>
  <cols>
    <col min="1" max="1" width="6.00390625" style="0" bestFit="1" customWidth="1"/>
    <col min="2" max="2" width="5.00390625" style="0" bestFit="1" customWidth="1"/>
    <col min="3" max="3" width="4.57421875" style="0" bestFit="1" customWidth="1"/>
    <col min="4" max="4" width="4.28125" style="0" customWidth="1"/>
    <col min="5" max="5" width="29.7109375" style="0" customWidth="1"/>
    <col min="6" max="6" width="3.8515625" style="0" customWidth="1"/>
    <col min="7" max="7" width="4.00390625" style="0" customWidth="1"/>
    <col min="8" max="8" width="2.8515625" style="0" customWidth="1"/>
    <col min="9" max="9" width="3.7109375" style="0" customWidth="1"/>
    <col min="10" max="10" width="3.00390625" style="0" customWidth="1"/>
    <col min="11" max="11" width="2.8515625" style="0" customWidth="1"/>
    <col min="12" max="12" width="3.7109375" style="0" customWidth="1"/>
    <col min="13" max="13" width="2.8515625" style="0" customWidth="1"/>
    <col min="14" max="14" width="2.57421875" style="0" customWidth="1"/>
    <col min="15" max="15" width="3.7109375" style="0" customWidth="1"/>
    <col min="16" max="16" width="3.57421875" style="0" customWidth="1"/>
    <col min="17" max="17" width="3.00390625" style="0" customWidth="1"/>
    <col min="18" max="18" width="3.28125" style="0" customWidth="1"/>
    <col min="19" max="19" width="4.140625" style="0" customWidth="1"/>
    <col min="20" max="20" width="3.00390625" style="0" customWidth="1"/>
    <col min="21" max="21" width="4.7109375" style="0" bestFit="1" customWidth="1"/>
    <col min="22" max="22" width="4.28125" style="0" bestFit="1" customWidth="1"/>
    <col min="23" max="23" width="4.00390625" style="0" customWidth="1"/>
    <col min="24" max="25" width="4.00390625" style="0" bestFit="1" customWidth="1"/>
    <col min="26" max="27" width="4.7109375" style="0" customWidth="1"/>
  </cols>
  <sheetData>
    <row r="1" spans="1:29" ht="118.5" customHeight="1">
      <c r="A1" t="s">
        <v>697</v>
      </c>
      <c r="B1" s="28" t="s">
        <v>1603</v>
      </c>
      <c r="C1" t="s">
        <v>1265</v>
      </c>
      <c r="D1" t="s">
        <v>1604</v>
      </c>
      <c r="E1" s="12" t="s">
        <v>2075</v>
      </c>
      <c r="F1" s="28" t="s">
        <v>1932</v>
      </c>
      <c r="G1" s="1" t="s">
        <v>559</v>
      </c>
      <c r="H1" s="1" t="s">
        <v>585</v>
      </c>
      <c r="I1" s="1" t="s">
        <v>584</v>
      </c>
      <c r="J1" s="1" t="s">
        <v>583</v>
      </c>
      <c r="K1" s="1" t="s">
        <v>582</v>
      </c>
      <c r="L1" s="1" t="s">
        <v>581</v>
      </c>
      <c r="M1" s="1" t="s">
        <v>580</v>
      </c>
      <c r="N1" s="1" t="s">
        <v>579</v>
      </c>
      <c r="O1" s="1" t="s">
        <v>560</v>
      </c>
      <c r="P1" s="1" t="s">
        <v>1798</v>
      </c>
      <c r="Q1" s="1" t="s">
        <v>1797</v>
      </c>
      <c r="R1" s="1" t="s">
        <v>1785</v>
      </c>
      <c r="S1" s="1" t="s">
        <v>1820</v>
      </c>
      <c r="T1" s="1" t="s">
        <v>563</v>
      </c>
      <c r="U1" s="1" t="s">
        <v>572</v>
      </c>
      <c r="V1" s="1" t="s">
        <v>571</v>
      </c>
      <c r="W1" s="1" t="s">
        <v>575</v>
      </c>
      <c r="X1" s="1" t="s">
        <v>576</v>
      </c>
      <c r="Y1" s="1" t="s">
        <v>577</v>
      </c>
      <c r="Z1" s="1" t="s">
        <v>578</v>
      </c>
      <c r="AA1" s="1" t="s">
        <v>553</v>
      </c>
      <c r="AB1" s="1"/>
      <c r="AC1" s="1"/>
    </row>
    <row r="2" spans="1:29" ht="12.75">
      <c r="A2" s="9">
        <f aca="true" t="shared" si="0" ref="A2:A13">G2*U2</f>
        <v>180</v>
      </c>
      <c r="B2">
        <f>22*2</f>
        <v>44</v>
      </c>
      <c r="C2" s="2">
        <f aca="true" t="shared" si="1" ref="C2:C20">B2/28.349523</f>
        <v>1.5520543326249263</v>
      </c>
      <c r="D2" s="2">
        <f aca="true" t="shared" si="2" ref="D2:D20">C2/16</f>
        <v>0.0970033957890579</v>
      </c>
      <c r="E2" s="11" t="s">
        <v>253</v>
      </c>
      <c r="F2" s="9">
        <v>22</v>
      </c>
      <c r="G2">
        <v>90</v>
      </c>
      <c r="H2">
        <v>2</v>
      </c>
      <c r="I2" s="10">
        <v>0.5</v>
      </c>
      <c r="J2">
        <v>0</v>
      </c>
      <c r="K2">
        <v>18</v>
      </c>
      <c r="L2">
        <v>8</v>
      </c>
      <c r="M2">
        <v>1</v>
      </c>
      <c r="N2">
        <v>0</v>
      </c>
      <c r="O2" s="2">
        <f aca="true" t="shared" si="3" ref="O2:O13">G2/F2</f>
        <v>4.090909090909091</v>
      </c>
      <c r="P2" s="42">
        <f aca="true" t="shared" si="4" ref="P2:P13">100*4*M2/G2</f>
        <v>4.444444444444445</v>
      </c>
      <c r="Q2" s="9">
        <f aca="true" t="shared" si="5" ref="Q2:Q13">100*9*H2/G2</f>
        <v>20</v>
      </c>
      <c r="R2" s="42">
        <f aca="true" t="shared" si="6" ref="R2:R13">100*(I2*9)/G2</f>
        <v>5</v>
      </c>
      <c r="S2" s="29">
        <f aca="true" t="shared" si="7" ref="S2:S13">100*K2*4/G2</f>
        <v>80</v>
      </c>
      <c r="T2" s="42">
        <f aca="true" t="shared" si="8" ref="T2:T13">100*N2/F2</f>
        <v>0</v>
      </c>
      <c r="U2" s="44">
        <f aca="true" t="shared" si="9" ref="U2:U13">B2/F2</f>
        <v>2</v>
      </c>
      <c r="V2" s="9">
        <f aca="true" t="shared" si="10" ref="V2:V13">U2*M2</f>
        <v>2</v>
      </c>
      <c r="W2" s="9">
        <f aca="true" t="shared" si="11" ref="W2:W13">U2*H2</f>
        <v>4</v>
      </c>
      <c r="X2" s="9">
        <f aca="true" t="shared" si="12" ref="X2:X13">U2*K2</f>
        <v>36</v>
      </c>
      <c r="Y2" s="9">
        <f aca="true" t="shared" si="13" ref="Y2:Y13">N2*U2</f>
        <v>0</v>
      </c>
      <c r="Z2">
        <f aca="true" t="shared" si="14" ref="Z2:Z13">U2*J2</f>
        <v>0</v>
      </c>
      <c r="AA2" s="2">
        <f aca="true" t="shared" si="15" ref="AA2:AA13">I2*U2</f>
        <v>1</v>
      </c>
      <c r="AB2" s="9" t="s">
        <v>1591</v>
      </c>
      <c r="AC2" s="9"/>
    </row>
    <row r="3" spans="1:29" ht="12.75">
      <c r="A3" s="9">
        <f t="shared" si="0"/>
        <v>260</v>
      </c>
      <c r="B3">
        <f>37*2</f>
        <v>74</v>
      </c>
      <c r="C3" s="2">
        <f t="shared" si="1"/>
        <v>2.610273195778285</v>
      </c>
      <c r="D3" s="2">
        <f t="shared" si="2"/>
        <v>0.1631420747361428</v>
      </c>
      <c r="E3" s="11" t="s">
        <v>1273</v>
      </c>
      <c r="F3" s="9">
        <v>37</v>
      </c>
      <c r="G3">
        <v>130</v>
      </c>
      <c r="H3">
        <v>2</v>
      </c>
      <c r="I3" s="10">
        <v>0</v>
      </c>
      <c r="J3">
        <v>0</v>
      </c>
      <c r="K3">
        <v>27</v>
      </c>
      <c r="L3">
        <v>13</v>
      </c>
      <c r="M3">
        <v>2</v>
      </c>
      <c r="N3">
        <v>1</v>
      </c>
      <c r="O3" s="2">
        <f t="shared" si="3"/>
        <v>3.5135135135135136</v>
      </c>
      <c r="P3" s="29">
        <f t="shared" si="4"/>
        <v>6.153846153846154</v>
      </c>
      <c r="Q3" s="9">
        <f t="shared" si="5"/>
        <v>13.846153846153847</v>
      </c>
      <c r="R3" s="16">
        <f t="shared" si="6"/>
        <v>0</v>
      </c>
      <c r="S3" s="16">
        <f t="shared" si="7"/>
        <v>83.07692307692308</v>
      </c>
      <c r="T3" s="9">
        <f t="shared" si="8"/>
        <v>2.7027027027027026</v>
      </c>
      <c r="U3" s="44">
        <f t="shared" si="9"/>
        <v>2</v>
      </c>
      <c r="V3" s="9">
        <f t="shared" si="10"/>
        <v>4</v>
      </c>
      <c r="W3" s="9">
        <f t="shared" si="11"/>
        <v>4</v>
      </c>
      <c r="X3" s="9">
        <f t="shared" si="12"/>
        <v>54</v>
      </c>
      <c r="Y3" s="9">
        <f t="shared" si="13"/>
        <v>2</v>
      </c>
      <c r="Z3">
        <f t="shared" si="14"/>
        <v>0</v>
      </c>
      <c r="AA3" s="2">
        <f t="shared" si="15"/>
        <v>0</v>
      </c>
      <c r="AB3" s="9"/>
      <c r="AC3" s="9"/>
    </row>
    <row r="4" spans="1:29" ht="12.75">
      <c r="A4" s="9">
        <f t="shared" si="0"/>
        <v>420</v>
      </c>
      <c r="B4">
        <v>100</v>
      </c>
      <c r="C4" s="2">
        <f t="shared" si="1"/>
        <v>3.527396210511196</v>
      </c>
      <c r="D4" s="2">
        <f t="shared" si="2"/>
        <v>0.22046226315694975</v>
      </c>
      <c r="E4" s="11" t="s">
        <v>531</v>
      </c>
      <c r="F4" s="9">
        <v>50</v>
      </c>
      <c r="G4">
        <v>210</v>
      </c>
      <c r="H4">
        <v>7</v>
      </c>
      <c r="I4" s="10">
        <v>4.5</v>
      </c>
      <c r="J4">
        <v>2.5</v>
      </c>
      <c r="K4">
        <v>22</v>
      </c>
      <c r="L4">
        <v>13</v>
      </c>
      <c r="M4">
        <v>16</v>
      </c>
      <c r="N4" s="9">
        <v>0.5</v>
      </c>
      <c r="O4" s="2">
        <f t="shared" si="3"/>
        <v>4.2</v>
      </c>
      <c r="P4" s="29">
        <f t="shared" si="4"/>
        <v>30.476190476190474</v>
      </c>
      <c r="Q4" s="9">
        <f t="shared" si="5"/>
        <v>30</v>
      </c>
      <c r="R4" s="29">
        <f t="shared" si="6"/>
        <v>19.285714285714285</v>
      </c>
      <c r="S4" s="16">
        <f t="shared" si="7"/>
        <v>41.904761904761905</v>
      </c>
      <c r="T4" s="9">
        <f t="shared" si="8"/>
        <v>1</v>
      </c>
      <c r="U4" s="44">
        <f t="shared" si="9"/>
        <v>2</v>
      </c>
      <c r="V4" s="16">
        <f t="shared" si="10"/>
        <v>32</v>
      </c>
      <c r="W4" s="9">
        <f t="shared" si="11"/>
        <v>14</v>
      </c>
      <c r="X4" s="9">
        <f t="shared" si="12"/>
        <v>44</v>
      </c>
      <c r="Y4" s="16">
        <f t="shared" si="13"/>
        <v>1</v>
      </c>
      <c r="Z4">
        <f t="shared" si="14"/>
        <v>5</v>
      </c>
      <c r="AA4" s="2">
        <f t="shared" si="15"/>
        <v>9</v>
      </c>
      <c r="AB4" s="11" t="s">
        <v>532</v>
      </c>
      <c r="AC4" s="9"/>
    </row>
    <row r="5" spans="1:29" ht="12.75">
      <c r="A5" s="9">
        <f t="shared" si="0"/>
        <v>210</v>
      </c>
      <c r="B5">
        <v>50</v>
      </c>
      <c r="C5" s="2">
        <f t="shared" si="1"/>
        <v>1.763698105255598</v>
      </c>
      <c r="D5" s="2">
        <f t="shared" si="2"/>
        <v>0.11023113157847488</v>
      </c>
      <c r="E5" s="11" t="s">
        <v>1321</v>
      </c>
      <c r="F5" s="9">
        <v>50</v>
      </c>
      <c r="G5">
        <v>210</v>
      </c>
      <c r="H5">
        <v>7</v>
      </c>
      <c r="I5" s="10">
        <v>4.5</v>
      </c>
      <c r="J5">
        <v>2.5</v>
      </c>
      <c r="K5">
        <v>21</v>
      </c>
      <c r="L5">
        <v>14</v>
      </c>
      <c r="M5">
        <v>15</v>
      </c>
      <c r="N5">
        <v>1</v>
      </c>
      <c r="O5" s="2">
        <f t="shared" si="3"/>
        <v>4.2</v>
      </c>
      <c r="P5" s="16">
        <f t="shared" si="4"/>
        <v>28.571428571428573</v>
      </c>
      <c r="Q5" s="9">
        <f t="shared" si="5"/>
        <v>30</v>
      </c>
      <c r="R5" s="29">
        <f t="shared" si="6"/>
        <v>19.285714285714285</v>
      </c>
      <c r="S5" s="16">
        <f t="shared" si="7"/>
        <v>40</v>
      </c>
      <c r="T5" s="9">
        <f t="shared" si="8"/>
        <v>2</v>
      </c>
      <c r="U5" s="44">
        <f t="shared" si="9"/>
        <v>1</v>
      </c>
      <c r="V5" s="16">
        <f t="shared" si="10"/>
        <v>15</v>
      </c>
      <c r="W5" s="9">
        <f t="shared" si="11"/>
        <v>7</v>
      </c>
      <c r="X5" s="9">
        <f t="shared" si="12"/>
        <v>21</v>
      </c>
      <c r="Y5" s="16">
        <f t="shared" si="13"/>
        <v>1</v>
      </c>
      <c r="Z5">
        <f t="shared" si="14"/>
        <v>2.5</v>
      </c>
      <c r="AA5" s="2">
        <f t="shared" si="15"/>
        <v>4.5</v>
      </c>
      <c r="AB5" s="11" t="s">
        <v>532</v>
      </c>
      <c r="AC5" s="9"/>
    </row>
    <row r="6" spans="1:29" ht="12.75">
      <c r="A6" s="9">
        <f t="shared" si="0"/>
        <v>210</v>
      </c>
      <c r="B6">
        <v>50</v>
      </c>
      <c r="C6" s="2">
        <f t="shared" si="1"/>
        <v>1.763698105255598</v>
      </c>
      <c r="D6" s="2">
        <f t="shared" si="2"/>
        <v>0.11023113157847488</v>
      </c>
      <c r="E6" s="11" t="s">
        <v>517</v>
      </c>
      <c r="F6" s="9">
        <v>50</v>
      </c>
      <c r="G6">
        <v>210</v>
      </c>
      <c r="H6">
        <v>7</v>
      </c>
      <c r="I6" s="10">
        <v>2.5</v>
      </c>
      <c r="J6" s="6">
        <v>0</v>
      </c>
      <c r="K6" s="6">
        <v>23</v>
      </c>
      <c r="L6" s="6">
        <v>16</v>
      </c>
      <c r="M6" s="6">
        <v>15</v>
      </c>
      <c r="N6" s="6">
        <v>2</v>
      </c>
      <c r="O6" s="2">
        <f t="shared" si="3"/>
        <v>4.2</v>
      </c>
      <c r="P6" s="16">
        <f t="shared" si="4"/>
        <v>28.571428571428573</v>
      </c>
      <c r="Q6" s="9">
        <f t="shared" si="5"/>
        <v>30</v>
      </c>
      <c r="R6" s="16">
        <f t="shared" si="6"/>
        <v>10.714285714285714</v>
      </c>
      <c r="S6" s="16">
        <f t="shared" si="7"/>
        <v>43.80952380952381</v>
      </c>
      <c r="T6" s="42">
        <f t="shared" si="8"/>
        <v>4</v>
      </c>
      <c r="U6" s="44">
        <f t="shared" si="9"/>
        <v>1</v>
      </c>
      <c r="V6" s="9">
        <f t="shared" si="10"/>
        <v>15</v>
      </c>
      <c r="W6" s="9">
        <f t="shared" si="11"/>
        <v>7</v>
      </c>
      <c r="X6" s="9">
        <f t="shared" si="12"/>
        <v>23</v>
      </c>
      <c r="Y6" s="9">
        <f t="shared" si="13"/>
        <v>2</v>
      </c>
      <c r="Z6">
        <f t="shared" si="14"/>
        <v>0</v>
      </c>
      <c r="AA6" s="2">
        <f t="shared" si="15"/>
        <v>2.5</v>
      </c>
      <c r="AB6" s="9" t="s">
        <v>1468</v>
      </c>
      <c r="AC6" s="9"/>
    </row>
    <row r="7" spans="1:29" ht="12.75">
      <c r="A7" s="9">
        <f t="shared" si="0"/>
        <v>170</v>
      </c>
      <c r="B7">
        <v>45</v>
      </c>
      <c r="C7" s="2">
        <f t="shared" si="1"/>
        <v>1.5873282947300382</v>
      </c>
      <c r="D7" s="2">
        <f t="shared" si="2"/>
        <v>0.09920801842062739</v>
      </c>
      <c r="E7" s="11" t="s">
        <v>1762</v>
      </c>
      <c r="F7">
        <v>45</v>
      </c>
      <c r="G7">
        <v>170</v>
      </c>
      <c r="H7">
        <v>5</v>
      </c>
      <c r="I7" s="10">
        <v>3.5</v>
      </c>
      <c r="J7">
        <v>0</v>
      </c>
      <c r="K7">
        <v>22</v>
      </c>
      <c r="L7">
        <v>8</v>
      </c>
      <c r="M7">
        <v>11</v>
      </c>
      <c r="N7">
        <v>5</v>
      </c>
      <c r="O7" s="2">
        <f t="shared" si="3"/>
        <v>3.7777777777777777</v>
      </c>
      <c r="P7" s="16">
        <f t="shared" si="4"/>
        <v>25.88235294117647</v>
      </c>
      <c r="Q7" s="9">
        <f t="shared" si="5"/>
        <v>26.470588235294116</v>
      </c>
      <c r="R7" s="16">
        <f t="shared" si="6"/>
        <v>18.529411764705884</v>
      </c>
      <c r="S7" s="16">
        <f t="shared" si="7"/>
        <v>51.76470588235294</v>
      </c>
      <c r="T7" s="16">
        <f t="shared" si="8"/>
        <v>11.11111111111111</v>
      </c>
      <c r="U7" s="44">
        <f t="shared" si="9"/>
        <v>1</v>
      </c>
      <c r="V7" s="16">
        <f t="shared" si="10"/>
        <v>11</v>
      </c>
      <c r="W7" s="9">
        <f t="shared" si="11"/>
        <v>5</v>
      </c>
      <c r="X7" s="9">
        <f t="shared" si="12"/>
        <v>22</v>
      </c>
      <c r="Y7" s="16">
        <f t="shared" si="13"/>
        <v>5</v>
      </c>
      <c r="Z7">
        <f t="shared" si="14"/>
        <v>0</v>
      </c>
      <c r="AA7" s="2">
        <f t="shared" si="15"/>
        <v>3.5</v>
      </c>
      <c r="AB7" s="11"/>
      <c r="AC7" s="9"/>
    </row>
    <row r="8" spans="1:29" ht="12.75">
      <c r="A8" s="9">
        <f t="shared" si="0"/>
        <v>533</v>
      </c>
      <c r="B8">
        <f>78+104</f>
        <v>182</v>
      </c>
      <c r="C8" s="2">
        <f t="shared" si="1"/>
        <v>6.419861103130377</v>
      </c>
      <c r="D8" s="2">
        <f t="shared" si="2"/>
        <v>0.4012413189456486</v>
      </c>
      <c r="E8" s="11" t="s">
        <v>1272</v>
      </c>
      <c r="F8" s="9">
        <v>28</v>
      </c>
      <c r="G8">
        <v>82</v>
      </c>
      <c r="H8">
        <v>0.5</v>
      </c>
      <c r="I8" s="10">
        <v>0</v>
      </c>
      <c r="J8">
        <v>25</v>
      </c>
      <c r="K8">
        <v>5</v>
      </c>
      <c r="L8">
        <v>5</v>
      </c>
      <c r="M8">
        <v>12.8</v>
      </c>
      <c r="N8">
        <v>0</v>
      </c>
      <c r="O8" s="2">
        <f t="shared" si="3"/>
        <v>2.9285714285714284</v>
      </c>
      <c r="P8" s="29">
        <f t="shared" si="4"/>
        <v>62.4390243902439</v>
      </c>
      <c r="Q8" s="9">
        <f t="shared" si="5"/>
        <v>5.487804878048781</v>
      </c>
      <c r="R8" s="16">
        <f t="shared" si="6"/>
        <v>0</v>
      </c>
      <c r="S8" s="16">
        <f t="shared" si="7"/>
        <v>24.390243902439025</v>
      </c>
      <c r="T8" s="42">
        <f t="shared" si="8"/>
        <v>0</v>
      </c>
      <c r="U8" s="44">
        <f t="shared" si="9"/>
        <v>6.5</v>
      </c>
      <c r="V8" s="9">
        <f t="shared" si="10"/>
        <v>83.2</v>
      </c>
      <c r="W8" s="9">
        <f t="shared" si="11"/>
        <v>3.25</v>
      </c>
      <c r="X8" s="9">
        <f t="shared" si="12"/>
        <v>32.5</v>
      </c>
      <c r="Y8" s="9">
        <f t="shared" si="13"/>
        <v>0</v>
      </c>
      <c r="Z8" s="9">
        <f t="shared" si="14"/>
        <v>162.5</v>
      </c>
      <c r="AA8" s="2">
        <f t="shared" si="15"/>
        <v>0</v>
      </c>
      <c r="AB8" s="9" t="s">
        <v>1345</v>
      </c>
      <c r="AC8" s="9"/>
    </row>
    <row r="9" spans="1:28" ht="12.75">
      <c r="A9" s="9">
        <f>G9*U9</f>
        <v>427</v>
      </c>
      <c r="B9" s="12">
        <v>122</v>
      </c>
      <c r="C9" s="2">
        <f t="shared" si="1"/>
        <v>4.303423376823659</v>
      </c>
      <c r="D9" s="2">
        <f t="shared" si="2"/>
        <v>0.2689639610514787</v>
      </c>
      <c r="E9" s="11" t="s">
        <v>1136</v>
      </c>
      <c r="F9" s="9">
        <v>40</v>
      </c>
      <c r="G9">
        <v>140</v>
      </c>
      <c r="H9">
        <v>0</v>
      </c>
      <c r="I9" s="10">
        <v>0</v>
      </c>
      <c r="J9" s="6">
        <v>0</v>
      </c>
      <c r="K9" s="6">
        <v>35</v>
      </c>
      <c r="L9" s="6">
        <v>30</v>
      </c>
      <c r="M9" s="6">
        <v>0</v>
      </c>
      <c r="N9" s="6">
        <v>2</v>
      </c>
      <c r="O9" s="44">
        <f>G9/F9</f>
        <v>3.5</v>
      </c>
      <c r="P9" s="42">
        <f>100*4*M9/G9</f>
        <v>0</v>
      </c>
      <c r="Q9" s="42">
        <f>100*9*H9/G9</f>
        <v>0</v>
      </c>
      <c r="R9" s="42">
        <f>100*(I9*9)/G9</f>
        <v>0</v>
      </c>
      <c r="S9" s="46">
        <f>100*K9*4/G9</f>
        <v>100</v>
      </c>
      <c r="T9" s="35">
        <f>100*N9/F9</f>
        <v>5</v>
      </c>
      <c r="U9" s="44">
        <f t="shared" si="9"/>
        <v>3.05</v>
      </c>
      <c r="V9" s="35">
        <f>U9*M9</f>
        <v>0</v>
      </c>
      <c r="W9" s="35">
        <f>U9*H9</f>
        <v>0</v>
      </c>
      <c r="X9" s="35">
        <f>U9*K9</f>
        <v>106.75</v>
      </c>
      <c r="Y9" s="35">
        <f>N9*U9</f>
        <v>6.1</v>
      </c>
      <c r="Z9" s="34">
        <f>U9*J9</f>
        <v>0</v>
      </c>
      <c r="AA9" s="44">
        <f>I9*U9</f>
        <v>0</v>
      </c>
      <c r="AB9" s="9" t="s">
        <v>1844</v>
      </c>
    </row>
    <row r="10" spans="1:29" ht="12.75">
      <c r="A10" s="9">
        <f>G10*U10</f>
        <v>316.72941176470584</v>
      </c>
      <c r="B10">
        <f>162-78</f>
        <v>84</v>
      </c>
      <c r="C10" s="2">
        <f>B10/28.349523</f>
        <v>2.9630128168294045</v>
      </c>
      <c r="D10" s="2">
        <f>C10/16</f>
        <v>0.18518830105183778</v>
      </c>
      <c r="E10" s="11" t="s">
        <v>1275</v>
      </c>
      <c r="F10" s="9">
        <v>17</v>
      </c>
      <c r="G10">
        <v>64.1</v>
      </c>
      <c r="H10">
        <v>0</v>
      </c>
      <c r="I10" s="10">
        <v>0</v>
      </c>
      <c r="J10" s="6">
        <v>0</v>
      </c>
      <c r="K10" s="6">
        <v>15.9</v>
      </c>
      <c r="L10" s="6">
        <v>16</v>
      </c>
      <c r="M10" s="6">
        <v>0</v>
      </c>
      <c r="N10" s="6">
        <v>0</v>
      </c>
      <c r="O10" s="2">
        <f>G10/F10</f>
        <v>3.770588235294117</v>
      </c>
      <c r="P10" s="42">
        <f>100*4*M10/G10</f>
        <v>0</v>
      </c>
      <c r="Q10" s="9">
        <f>100*9*H10/G10</f>
        <v>0</v>
      </c>
      <c r="R10" s="42">
        <f>100*(I10*9)/G10</f>
        <v>0</v>
      </c>
      <c r="S10" s="29">
        <f>100*K10*4/G10</f>
        <v>99.21996879875196</v>
      </c>
      <c r="T10" s="42">
        <f>100*N10/F10</f>
        <v>0</v>
      </c>
      <c r="U10" s="44">
        <f>B10/F10</f>
        <v>4.9411764705882355</v>
      </c>
      <c r="V10" s="16">
        <f>U10*M10</f>
        <v>0</v>
      </c>
      <c r="W10" s="9">
        <f>U10*H10</f>
        <v>0</v>
      </c>
      <c r="X10" s="9">
        <f>U10*K10</f>
        <v>78.56470588235294</v>
      </c>
      <c r="Y10" s="9">
        <f>N10*U10</f>
        <v>0</v>
      </c>
      <c r="Z10">
        <f>U10*J10</f>
        <v>0</v>
      </c>
      <c r="AA10" s="2">
        <f>I10*U10</f>
        <v>0</v>
      </c>
      <c r="AB10" s="9" t="s">
        <v>2062</v>
      </c>
      <c r="AC10" s="9"/>
    </row>
    <row r="11" spans="1:29" ht="12.75">
      <c r="A11" s="9">
        <f>G11*U11</f>
        <v>285.3658536585366</v>
      </c>
      <c r="B11" s="9">
        <v>78</v>
      </c>
      <c r="C11" s="2">
        <f t="shared" si="1"/>
        <v>2.751369044198733</v>
      </c>
      <c r="D11" s="2">
        <f t="shared" si="2"/>
        <v>0.17196056526242082</v>
      </c>
      <c r="E11" s="11" t="s">
        <v>1274</v>
      </c>
      <c r="F11" s="9">
        <v>41</v>
      </c>
      <c r="G11">
        <v>150</v>
      </c>
      <c r="H11">
        <v>0</v>
      </c>
      <c r="I11" s="10">
        <v>0</v>
      </c>
      <c r="J11" s="6">
        <v>0</v>
      </c>
      <c r="K11" s="6">
        <v>37</v>
      </c>
      <c r="L11" s="6">
        <v>34</v>
      </c>
      <c r="M11" s="6">
        <v>0</v>
      </c>
      <c r="N11" s="6">
        <v>0</v>
      </c>
      <c r="O11" s="2">
        <f>G11/F11</f>
        <v>3.658536585365854</v>
      </c>
      <c r="P11" s="42">
        <f>100*4*M11/G11</f>
        <v>0</v>
      </c>
      <c r="Q11" s="9">
        <f>100*9*H11/G11</f>
        <v>0</v>
      </c>
      <c r="R11" s="42">
        <f>100*(I11*9)/G11</f>
        <v>0</v>
      </c>
      <c r="S11" s="29">
        <f t="shared" si="7"/>
        <v>98.66666666666667</v>
      </c>
      <c r="T11" s="42">
        <f>100*N11/F11</f>
        <v>0</v>
      </c>
      <c r="U11" s="44">
        <f t="shared" si="9"/>
        <v>1.9024390243902438</v>
      </c>
      <c r="V11" s="16">
        <f>U11*M11</f>
        <v>0</v>
      </c>
      <c r="W11" s="9">
        <f>U11*H11</f>
        <v>0</v>
      </c>
      <c r="X11" s="9">
        <f>U11*K11</f>
        <v>70.39024390243902</v>
      </c>
      <c r="Y11" s="9">
        <f>N11*U11</f>
        <v>0</v>
      </c>
      <c r="Z11">
        <f>U11*J11</f>
        <v>0</v>
      </c>
      <c r="AA11" s="2">
        <f>I11*U11</f>
        <v>0</v>
      </c>
      <c r="AB11" s="9" t="s">
        <v>2062</v>
      </c>
      <c r="AC11" s="9"/>
    </row>
    <row r="12" spans="1:29" ht="12.75">
      <c r="A12" s="9">
        <f t="shared" si="0"/>
        <v>240</v>
      </c>
      <c r="B12">
        <v>60</v>
      </c>
      <c r="C12" s="2">
        <f t="shared" si="1"/>
        <v>2.116437726306718</v>
      </c>
      <c r="D12" s="2">
        <f t="shared" si="2"/>
        <v>0.13227735789416986</v>
      </c>
      <c r="E12" s="11" t="s">
        <v>1678</v>
      </c>
      <c r="F12" s="9">
        <v>15</v>
      </c>
      <c r="G12">
        <v>60</v>
      </c>
      <c r="H12">
        <v>0</v>
      </c>
      <c r="I12" s="10">
        <v>0</v>
      </c>
      <c r="J12" s="6">
        <v>0</v>
      </c>
      <c r="K12" s="6">
        <v>14</v>
      </c>
      <c r="L12" s="6">
        <v>12</v>
      </c>
      <c r="M12" s="6">
        <v>0</v>
      </c>
      <c r="N12" s="6">
        <v>0</v>
      </c>
      <c r="O12" s="2">
        <f t="shared" si="3"/>
        <v>4</v>
      </c>
      <c r="P12" s="42">
        <f t="shared" si="4"/>
        <v>0</v>
      </c>
      <c r="Q12" s="9">
        <f t="shared" si="5"/>
        <v>0</v>
      </c>
      <c r="R12" s="42">
        <f t="shared" si="6"/>
        <v>0</v>
      </c>
      <c r="S12" s="29">
        <f t="shared" si="7"/>
        <v>93.33333333333333</v>
      </c>
      <c r="T12" s="42">
        <f t="shared" si="8"/>
        <v>0</v>
      </c>
      <c r="U12" s="44">
        <f t="shared" si="9"/>
        <v>4</v>
      </c>
      <c r="V12" s="16">
        <f t="shared" si="10"/>
        <v>0</v>
      </c>
      <c r="W12" s="9">
        <f t="shared" si="11"/>
        <v>0</v>
      </c>
      <c r="X12" s="9">
        <f t="shared" si="12"/>
        <v>56</v>
      </c>
      <c r="Y12" s="9">
        <f t="shared" si="13"/>
        <v>0</v>
      </c>
      <c r="Z12">
        <f t="shared" si="14"/>
        <v>0</v>
      </c>
      <c r="AA12" s="2">
        <f t="shared" si="15"/>
        <v>0</v>
      </c>
      <c r="AB12" s="9" t="s">
        <v>2062</v>
      </c>
      <c r="AC12" s="9"/>
    </row>
    <row r="13" spans="1:29" ht="12.75">
      <c r="A13" s="9">
        <f t="shared" si="0"/>
        <v>172.5</v>
      </c>
      <c r="B13">
        <v>46</v>
      </c>
      <c r="C13" s="2">
        <f t="shared" si="1"/>
        <v>1.6226022568351501</v>
      </c>
      <c r="D13" s="2">
        <f t="shared" si="2"/>
        <v>0.10141264105219688</v>
      </c>
      <c r="E13" s="11" t="s">
        <v>870</v>
      </c>
      <c r="F13" s="9">
        <v>16</v>
      </c>
      <c r="G13">
        <v>60</v>
      </c>
      <c r="H13">
        <v>0</v>
      </c>
      <c r="I13" s="10">
        <v>0</v>
      </c>
      <c r="J13" s="6">
        <v>0</v>
      </c>
      <c r="K13" s="6">
        <v>16</v>
      </c>
      <c r="L13" s="6">
        <v>10</v>
      </c>
      <c r="M13" s="6">
        <v>0</v>
      </c>
      <c r="N13" s="6">
        <v>0</v>
      </c>
      <c r="O13" s="2">
        <f t="shared" si="3"/>
        <v>3.75</v>
      </c>
      <c r="P13" s="42">
        <f t="shared" si="4"/>
        <v>0</v>
      </c>
      <c r="Q13" s="9">
        <f t="shared" si="5"/>
        <v>0</v>
      </c>
      <c r="R13" s="42">
        <f t="shared" si="6"/>
        <v>0</v>
      </c>
      <c r="S13" s="29">
        <f t="shared" si="7"/>
        <v>106.66666666666667</v>
      </c>
      <c r="T13" s="42">
        <f t="shared" si="8"/>
        <v>0</v>
      </c>
      <c r="U13" s="44">
        <f t="shared" si="9"/>
        <v>2.875</v>
      </c>
      <c r="V13" s="16">
        <f t="shared" si="10"/>
        <v>0</v>
      </c>
      <c r="W13" s="9">
        <f t="shared" si="11"/>
        <v>0</v>
      </c>
      <c r="X13" s="9">
        <f t="shared" si="12"/>
        <v>46</v>
      </c>
      <c r="Y13" s="9">
        <f t="shared" si="13"/>
        <v>0</v>
      </c>
      <c r="Z13">
        <f t="shared" si="14"/>
        <v>0</v>
      </c>
      <c r="AA13" s="2">
        <f t="shared" si="15"/>
        <v>0</v>
      </c>
      <c r="AB13" s="9" t="s">
        <v>2062</v>
      </c>
      <c r="AC13" s="9"/>
    </row>
    <row r="14" spans="1:29" ht="12.75">
      <c r="A14" s="9">
        <f aca="true" t="shared" si="16" ref="A14:A19">G14*U14</f>
        <v>307.0588235294117</v>
      </c>
      <c r="B14">
        <v>87</v>
      </c>
      <c r="C14" s="2">
        <f t="shared" si="1"/>
        <v>3.0688347031447405</v>
      </c>
      <c r="D14" s="2">
        <f t="shared" si="2"/>
        <v>0.19180216894654628</v>
      </c>
      <c r="E14" s="11" t="s">
        <v>1628</v>
      </c>
      <c r="F14" s="9">
        <v>17</v>
      </c>
      <c r="G14">
        <v>60</v>
      </c>
      <c r="H14">
        <v>0</v>
      </c>
      <c r="I14" s="10">
        <v>0</v>
      </c>
      <c r="J14" s="6">
        <v>0</v>
      </c>
      <c r="K14" s="6">
        <v>15.9</v>
      </c>
      <c r="L14" s="6">
        <v>16</v>
      </c>
      <c r="M14" s="6">
        <v>0</v>
      </c>
      <c r="N14" s="6">
        <v>0</v>
      </c>
      <c r="O14" s="2">
        <f aca="true" t="shared" si="17" ref="O14:O19">G14/F14</f>
        <v>3.5294117647058822</v>
      </c>
      <c r="P14" s="42">
        <f aca="true" t="shared" si="18" ref="P14:P19">100*4*M14/G14</f>
        <v>0</v>
      </c>
      <c r="Q14" s="9">
        <f aca="true" t="shared" si="19" ref="Q14:Q19">100*9*H14/G14</f>
        <v>0</v>
      </c>
      <c r="R14" s="42">
        <f aca="true" t="shared" si="20" ref="R14:R19">100*(I14*9)/G14</f>
        <v>0</v>
      </c>
      <c r="S14" s="29">
        <f aca="true" t="shared" si="21" ref="S14:S19">100*K14*4/G14</f>
        <v>106</v>
      </c>
      <c r="T14" s="42">
        <f aca="true" t="shared" si="22" ref="T14:T19">100*N14/F14</f>
        <v>0</v>
      </c>
      <c r="U14" s="44">
        <f aca="true" t="shared" si="23" ref="U14:U19">B14/F14</f>
        <v>5.117647058823529</v>
      </c>
      <c r="V14" s="16">
        <f aca="true" t="shared" si="24" ref="V14:V19">U14*M14</f>
        <v>0</v>
      </c>
      <c r="W14" s="9">
        <f aca="true" t="shared" si="25" ref="W14:W19">U14*H14</f>
        <v>0</v>
      </c>
      <c r="X14" s="141">
        <f aca="true" t="shared" si="26" ref="X14:X19">U14*K14</f>
        <v>81.37058823529411</v>
      </c>
      <c r="Y14" s="9">
        <f aca="true" t="shared" si="27" ref="Y14:Y19">N14*U14</f>
        <v>0</v>
      </c>
      <c r="Z14">
        <f aca="true" t="shared" si="28" ref="Z14:Z19">U14*J14</f>
        <v>0</v>
      </c>
      <c r="AA14" s="2">
        <f aca="true" t="shared" si="29" ref="AA14:AA19">I14*U14</f>
        <v>0</v>
      </c>
      <c r="AB14" s="9" t="s">
        <v>249</v>
      </c>
      <c r="AC14" s="9"/>
    </row>
    <row r="15" spans="1:29" ht="12.75">
      <c r="A15" s="9">
        <f t="shared" si="16"/>
        <v>589</v>
      </c>
      <c r="B15">
        <v>93</v>
      </c>
      <c r="C15" s="2">
        <f t="shared" si="1"/>
        <v>3.2804784757754124</v>
      </c>
      <c r="D15" s="2">
        <f t="shared" si="2"/>
        <v>0.20502990473596328</v>
      </c>
      <c r="E15" s="11" t="s">
        <v>1848</v>
      </c>
      <c r="F15" s="9">
        <v>30</v>
      </c>
      <c r="G15">
        <v>190</v>
      </c>
      <c r="H15">
        <v>15</v>
      </c>
      <c r="I15" s="10">
        <v>4</v>
      </c>
      <c r="J15">
        <v>0</v>
      </c>
      <c r="K15">
        <v>9</v>
      </c>
      <c r="L15">
        <v>1</v>
      </c>
      <c r="M15">
        <v>4</v>
      </c>
      <c r="N15">
        <v>4</v>
      </c>
      <c r="O15" s="32">
        <f t="shared" si="17"/>
        <v>6.333333333333333</v>
      </c>
      <c r="P15" s="42">
        <f t="shared" si="18"/>
        <v>8.421052631578947</v>
      </c>
      <c r="Q15" s="29">
        <f t="shared" si="19"/>
        <v>71.05263157894737</v>
      </c>
      <c r="R15" s="29">
        <f t="shared" si="20"/>
        <v>18.94736842105263</v>
      </c>
      <c r="S15" s="16">
        <f t="shared" si="21"/>
        <v>18.94736842105263</v>
      </c>
      <c r="T15" s="29">
        <f t="shared" si="22"/>
        <v>13.333333333333334</v>
      </c>
      <c r="U15" s="44">
        <f t="shared" si="23"/>
        <v>3.1</v>
      </c>
      <c r="V15" s="9">
        <f t="shared" si="24"/>
        <v>12.4</v>
      </c>
      <c r="W15" s="9">
        <f t="shared" si="25"/>
        <v>46.5</v>
      </c>
      <c r="X15" s="9">
        <f t="shared" si="26"/>
        <v>27.900000000000002</v>
      </c>
      <c r="Y15" s="9">
        <f t="shared" si="27"/>
        <v>12.4</v>
      </c>
      <c r="Z15">
        <f t="shared" si="28"/>
        <v>0</v>
      </c>
      <c r="AA15" s="2">
        <f t="shared" si="29"/>
        <v>12.4</v>
      </c>
      <c r="AB15" s="9" t="s">
        <v>1593</v>
      </c>
      <c r="AC15" s="9"/>
    </row>
    <row r="16" spans="1:30" s="151" customFormat="1" ht="12.75">
      <c r="A16" s="161">
        <f t="shared" si="16"/>
        <v>984</v>
      </c>
      <c r="B16" s="162">
        <f>67+97</f>
        <v>164</v>
      </c>
      <c r="C16" s="163">
        <f t="shared" si="1"/>
        <v>5.784929785238361</v>
      </c>
      <c r="D16" s="163">
        <f t="shared" si="2"/>
        <v>0.3615581115773976</v>
      </c>
      <c r="E16" s="164" t="s">
        <v>564</v>
      </c>
      <c r="F16" s="161">
        <v>30</v>
      </c>
      <c r="G16" s="162">
        <v>180</v>
      </c>
      <c r="H16" s="162">
        <v>13</v>
      </c>
      <c r="I16" s="163">
        <v>1.5</v>
      </c>
      <c r="J16" s="162">
        <v>0</v>
      </c>
      <c r="K16" s="162">
        <v>9</v>
      </c>
      <c r="L16" s="162">
        <v>2</v>
      </c>
      <c r="M16" s="162">
        <v>6</v>
      </c>
      <c r="N16" s="162">
        <v>3</v>
      </c>
      <c r="O16" s="165">
        <f t="shared" si="17"/>
        <v>6</v>
      </c>
      <c r="P16" s="161">
        <f t="shared" si="18"/>
        <v>13.333333333333334</v>
      </c>
      <c r="Q16" s="161">
        <f t="shared" si="19"/>
        <v>65</v>
      </c>
      <c r="R16" s="161">
        <f t="shared" si="20"/>
        <v>7.5</v>
      </c>
      <c r="S16" s="161">
        <f t="shared" si="21"/>
        <v>20</v>
      </c>
      <c r="T16" s="167">
        <f t="shared" si="22"/>
        <v>10</v>
      </c>
      <c r="U16" s="168">
        <f t="shared" si="23"/>
        <v>5.466666666666667</v>
      </c>
      <c r="V16" s="161">
        <f t="shared" si="24"/>
        <v>32.8</v>
      </c>
      <c r="W16" s="161">
        <f t="shared" si="25"/>
        <v>71.06666666666666</v>
      </c>
      <c r="X16" s="161">
        <f t="shared" si="26"/>
        <v>49.2</v>
      </c>
      <c r="Y16" s="161">
        <f t="shared" si="27"/>
        <v>16.4</v>
      </c>
      <c r="Z16" s="161">
        <f t="shared" si="28"/>
        <v>0</v>
      </c>
      <c r="AA16" s="163">
        <f t="shared" si="29"/>
        <v>8.2</v>
      </c>
      <c r="AB16" s="161" t="s">
        <v>570</v>
      </c>
      <c r="AC16" s="161"/>
      <c r="AD16" s="162"/>
    </row>
    <row r="17" spans="1:29" ht="12.75">
      <c r="A17" s="9">
        <f t="shared" si="16"/>
        <v>726.0714285714286</v>
      </c>
      <c r="B17">
        <v>107</v>
      </c>
      <c r="C17" s="2">
        <f t="shared" si="1"/>
        <v>3.7743139452469796</v>
      </c>
      <c r="D17" s="2">
        <f t="shared" si="2"/>
        <v>0.23589462157793623</v>
      </c>
      <c r="E17" s="11" t="s">
        <v>1293</v>
      </c>
      <c r="F17" s="9">
        <v>28</v>
      </c>
      <c r="G17">
        <v>190</v>
      </c>
      <c r="H17">
        <v>19</v>
      </c>
      <c r="I17" s="10">
        <v>1.5</v>
      </c>
      <c r="J17">
        <v>0</v>
      </c>
      <c r="K17">
        <v>5</v>
      </c>
      <c r="L17">
        <v>1</v>
      </c>
      <c r="M17">
        <v>2</v>
      </c>
      <c r="N17">
        <v>2</v>
      </c>
      <c r="O17" s="32">
        <f t="shared" si="17"/>
        <v>6.785714285714286</v>
      </c>
      <c r="P17" s="42">
        <f t="shared" si="18"/>
        <v>4.2105263157894735</v>
      </c>
      <c r="Q17" s="29">
        <f t="shared" si="19"/>
        <v>90</v>
      </c>
      <c r="R17" s="16">
        <f t="shared" si="20"/>
        <v>7.105263157894737</v>
      </c>
      <c r="S17" s="16">
        <f t="shared" si="21"/>
        <v>10.526315789473685</v>
      </c>
      <c r="T17" s="9">
        <f t="shared" si="22"/>
        <v>7.142857142857143</v>
      </c>
      <c r="U17" s="44">
        <f t="shared" si="23"/>
        <v>3.8214285714285716</v>
      </c>
      <c r="V17" s="9">
        <f t="shared" si="24"/>
        <v>7.642857142857143</v>
      </c>
      <c r="W17" s="9">
        <f t="shared" si="25"/>
        <v>72.60714285714286</v>
      </c>
      <c r="X17" s="9">
        <f t="shared" si="26"/>
        <v>19.107142857142858</v>
      </c>
      <c r="Y17" s="9">
        <f t="shared" si="27"/>
        <v>7.642857142857143</v>
      </c>
      <c r="Z17">
        <f t="shared" si="28"/>
        <v>0</v>
      </c>
      <c r="AA17" s="2">
        <f t="shared" si="29"/>
        <v>5.732142857142858</v>
      </c>
      <c r="AB17" s="9" t="s">
        <v>1595</v>
      </c>
      <c r="AC17" s="9"/>
    </row>
    <row r="18" spans="1:28" ht="12.75">
      <c r="A18" s="9">
        <f t="shared" si="16"/>
        <v>642.5806451612902</v>
      </c>
      <c r="B18" s="12">
        <v>83</v>
      </c>
      <c r="C18" s="2">
        <f t="shared" si="1"/>
        <v>2.927738854724293</v>
      </c>
      <c r="D18" s="2">
        <f t="shared" si="2"/>
        <v>0.1829836784202683</v>
      </c>
      <c r="E18" s="11" t="s">
        <v>539</v>
      </c>
      <c r="F18" s="9">
        <v>31</v>
      </c>
      <c r="G18">
        <v>240</v>
      </c>
      <c r="H18">
        <v>23</v>
      </c>
      <c r="I18" s="10">
        <v>3.5</v>
      </c>
      <c r="J18">
        <v>0</v>
      </c>
      <c r="K18">
        <v>4</v>
      </c>
      <c r="L18">
        <v>1</v>
      </c>
      <c r="M18">
        <v>2</v>
      </c>
      <c r="N18">
        <v>2</v>
      </c>
      <c r="O18" s="32">
        <f t="shared" si="17"/>
        <v>7.741935483870968</v>
      </c>
      <c r="P18" s="42">
        <f t="shared" si="18"/>
        <v>3.3333333333333335</v>
      </c>
      <c r="Q18" s="29">
        <f t="shared" si="19"/>
        <v>86.25</v>
      </c>
      <c r="R18" s="16">
        <f t="shared" si="20"/>
        <v>13.125</v>
      </c>
      <c r="S18" s="16">
        <f t="shared" si="21"/>
        <v>6.666666666666667</v>
      </c>
      <c r="T18" s="9">
        <f t="shared" si="22"/>
        <v>6.451612903225806</v>
      </c>
      <c r="U18" s="44">
        <f t="shared" si="23"/>
        <v>2.6774193548387095</v>
      </c>
      <c r="V18" s="9">
        <f t="shared" si="24"/>
        <v>5.354838709677419</v>
      </c>
      <c r="W18" s="9">
        <f t="shared" si="25"/>
        <v>61.58064516129032</v>
      </c>
      <c r="X18" s="9">
        <f t="shared" si="26"/>
        <v>10.709677419354838</v>
      </c>
      <c r="Y18" s="9">
        <f t="shared" si="27"/>
        <v>5.354838709677419</v>
      </c>
      <c r="Z18">
        <f t="shared" si="28"/>
        <v>0</v>
      </c>
      <c r="AA18" s="2">
        <f t="shared" si="29"/>
        <v>9.370967741935484</v>
      </c>
      <c r="AB18" t="s">
        <v>1594</v>
      </c>
    </row>
    <row r="19" spans="1:29" ht="12.75">
      <c r="A19" s="9">
        <f t="shared" si="16"/>
        <v>558.5714285714286</v>
      </c>
      <c r="B19">
        <v>92</v>
      </c>
      <c r="C19" s="2">
        <f t="shared" si="1"/>
        <v>3.2452045136703003</v>
      </c>
      <c r="D19" s="2">
        <f t="shared" si="2"/>
        <v>0.20282528210439377</v>
      </c>
      <c r="E19" s="11" t="s">
        <v>1845</v>
      </c>
      <c r="F19" s="9">
        <v>28</v>
      </c>
      <c r="G19">
        <v>170</v>
      </c>
      <c r="H19">
        <v>13</v>
      </c>
      <c r="I19" s="2">
        <v>3</v>
      </c>
      <c r="J19">
        <v>0</v>
      </c>
      <c r="K19">
        <v>9</v>
      </c>
      <c r="L19">
        <v>2</v>
      </c>
      <c r="M19">
        <v>5</v>
      </c>
      <c r="N19">
        <v>1</v>
      </c>
      <c r="O19" s="32">
        <f t="shared" si="17"/>
        <v>6.071428571428571</v>
      </c>
      <c r="P19" s="9">
        <f t="shared" si="18"/>
        <v>11.764705882352942</v>
      </c>
      <c r="Q19" s="9">
        <f t="shared" si="19"/>
        <v>68.82352941176471</v>
      </c>
      <c r="R19" s="29">
        <f t="shared" si="20"/>
        <v>15.882352941176471</v>
      </c>
      <c r="S19" s="16">
        <f t="shared" si="21"/>
        <v>21.176470588235293</v>
      </c>
      <c r="T19" s="9">
        <f t="shared" si="22"/>
        <v>3.5714285714285716</v>
      </c>
      <c r="U19" s="44">
        <f t="shared" si="23"/>
        <v>3.2857142857142856</v>
      </c>
      <c r="V19" s="9">
        <f t="shared" si="24"/>
        <v>16.428571428571427</v>
      </c>
      <c r="W19" s="9">
        <f t="shared" si="25"/>
        <v>42.714285714285715</v>
      </c>
      <c r="X19" s="9">
        <f t="shared" si="26"/>
        <v>29.57142857142857</v>
      </c>
      <c r="Y19" s="9">
        <f t="shared" si="27"/>
        <v>3.2857142857142856</v>
      </c>
      <c r="Z19">
        <f t="shared" si="28"/>
        <v>0</v>
      </c>
      <c r="AA19" s="2">
        <f t="shared" si="29"/>
        <v>9.857142857142858</v>
      </c>
      <c r="AB19" s="9" t="s">
        <v>528</v>
      </c>
      <c r="AC19" s="9"/>
    </row>
    <row r="20" spans="1:27" ht="12.75">
      <c r="A20" s="9">
        <f>SUM(A2:A19)</f>
        <v>7231.877591256801</v>
      </c>
      <c r="B20" s="9">
        <f>SUM(B2:B19)</f>
        <v>1561</v>
      </c>
      <c r="C20" s="9">
        <f t="shared" si="1"/>
        <v>55.062654846079774</v>
      </c>
      <c r="D20" s="2">
        <f t="shared" si="2"/>
        <v>3.441415927879986</v>
      </c>
      <c r="E20" s="11" t="s">
        <v>1507</v>
      </c>
      <c r="J20" s="3"/>
      <c r="K20" s="3"/>
      <c r="L20" s="3"/>
      <c r="M20" s="9"/>
      <c r="O20" s="3"/>
      <c r="V20" s="144">
        <f aca="true" t="shared" si="30" ref="V20:AA20">SUM(V2:V19)</f>
        <v>236.82626728110594</v>
      </c>
      <c r="W20" s="144">
        <f t="shared" si="30"/>
        <v>338.7187403993856</v>
      </c>
      <c r="X20" s="144">
        <f t="shared" si="30"/>
        <v>808.0637868680125</v>
      </c>
      <c r="Y20" s="9">
        <f t="shared" si="30"/>
        <v>62.183410138248846</v>
      </c>
      <c r="Z20" s="144">
        <f t="shared" si="30"/>
        <v>170</v>
      </c>
      <c r="AA20" s="9">
        <f t="shared" si="30"/>
        <v>66.0602534562212</v>
      </c>
    </row>
    <row r="21" spans="1:28" ht="12.75">
      <c r="A21" s="9"/>
      <c r="B21" s="9"/>
      <c r="C21" s="2"/>
      <c r="D21" s="2"/>
      <c r="E21" s="11"/>
      <c r="F21">
        <v>1.8</v>
      </c>
      <c r="G21" t="s">
        <v>534</v>
      </c>
      <c r="I21" s="143">
        <f>A20/F21</f>
        <v>4017.7097729204447</v>
      </c>
      <c r="J21" t="s">
        <v>536</v>
      </c>
      <c r="L21" s="144">
        <f>V20/F21</f>
        <v>131.5701484895033</v>
      </c>
      <c r="M21" s="33" t="s">
        <v>1675</v>
      </c>
      <c r="P21">
        <f>Y20/F21</f>
        <v>34.5463389656938</v>
      </c>
      <c r="Q21" s="33" t="s">
        <v>1676</v>
      </c>
      <c r="V21" s="35">
        <f>4*V20</f>
        <v>947.3050691244238</v>
      </c>
      <c r="W21" s="48">
        <f>9*W20</f>
        <v>3048.4686635944704</v>
      </c>
      <c r="X21" s="48">
        <f>4*X20</f>
        <v>3232.25514747205</v>
      </c>
      <c r="AA21" s="35">
        <f>9*AA20</f>
        <v>594.5422811059908</v>
      </c>
      <c r="AB21" t="s">
        <v>697</v>
      </c>
    </row>
    <row r="22" spans="2:28" ht="12.75">
      <c r="B22" s="9"/>
      <c r="C22" s="2"/>
      <c r="D22" s="2"/>
      <c r="E22" s="11"/>
      <c r="L22">
        <f>Z20/F21</f>
        <v>94.44444444444444</v>
      </c>
      <c r="M22" s="33" t="s">
        <v>605</v>
      </c>
      <c r="R22" s="144">
        <f>AA20/F21</f>
        <v>36.70014080901178</v>
      </c>
      <c r="S22" s="33" t="s">
        <v>1677</v>
      </c>
      <c r="V22" s="9">
        <f>V21*100/A20</f>
        <v>13.09901968293403</v>
      </c>
      <c r="W22" s="9">
        <f>100*W21/A20</f>
        <v>42.15321159860351</v>
      </c>
      <c r="X22" s="9">
        <f>X21*100/A20</f>
        <v>44.69455002086573</v>
      </c>
      <c r="Y22" s="145">
        <f>100*Y20/A20</f>
        <v>0.8598515303055928</v>
      </c>
      <c r="AA22" s="2">
        <f>100*AA21/A20</f>
        <v>8.221133082019819</v>
      </c>
      <c r="AB22" t="s">
        <v>1786</v>
      </c>
    </row>
    <row r="23" spans="1:11" ht="12.75">
      <c r="A23">
        <v>3800</v>
      </c>
      <c r="B23" s="9"/>
      <c r="C23" s="2"/>
      <c r="D23" s="2"/>
      <c r="E23" s="126" t="s">
        <v>1271</v>
      </c>
      <c r="K23" s="33" t="s">
        <v>587</v>
      </c>
    </row>
    <row r="24" spans="1:12" ht="12.75">
      <c r="A24" s="93">
        <f>F21*A23</f>
        <v>6840</v>
      </c>
      <c r="B24" s="93"/>
      <c r="C24" s="94"/>
      <c r="D24" s="94"/>
      <c r="E24" s="126" t="s">
        <v>1270</v>
      </c>
      <c r="L24" t="s">
        <v>602</v>
      </c>
    </row>
    <row r="25" spans="1:12" ht="12.75">
      <c r="A25" s="93">
        <f>A24-A20</f>
        <v>-391.87759125680077</v>
      </c>
      <c r="B25" s="93"/>
      <c r="C25" s="93"/>
      <c r="D25" s="92"/>
      <c r="E25" s="92" t="s">
        <v>1497</v>
      </c>
      <c r="L25" s="6" t="s">
        <v>600</v>
      </c>
    </row>
    <row r="26" ht="12.75">
      <c r="L26" t="s">
        <v>601</v>
      </c>
    </row>
    <row r="27" spans="2:12" ht="12.75">
      <c r="B27" s="9"/>
      <c r="C27" s="2"/>
      <c r="D27" s="2"/>
      <c r="E27" s="11">
        <v>104</v>
      </c>
      <c r="L27" s="27" t="s">
        <v>603</v>
      </c>
    </row>
    <row r="28" spans="6:29" ht="12.75">
      <c r="F28" s="9"/>
      <c r="I28" s="10"/>
      <c r="J28" s="6"/>
      <c r="K28" s="6"/>
      <c r="L28" s="6"/>
      <c r="M28" s="6"/>
      <c r="N28" s="6"/>
      <c r="O28" s="2"/>
      <c r="P28" s="16"/>
      <c r="Q28" s="9"/>
      <c r="R28" s="29"/>
      <c r="S28" s="93"/>
      <c r="T28" s="92"/>
      <c r="U28" s="94"/>
      <c r="V28" s="92"/>
      <c r="W28" s="92"/>
      <c r="X28" s="93"/>
      <c r="Y28" s="93"/>
      <c r="AA28" s="2"/>
      <c r="AB28" s="173"/>
      <c r="AC28" s="9"/>
    </row>
    <row r="29" spans="6:29" ht="12.75">
      <c r="F29" s="9"/>
      <c r="I29" s="10"/>
      <c r="J29" s="6"/>
      <c r="K29" s="6"/>
      <c r="L29" s="6"/>
      <c r="M29" s="6"/>
      <c r="N29" s="6"/>
      <c r="O29" s="2"/>
      <c r="P29" s="16"/>
      <c r="Q29" s="9"/>
      <c r="R29" s="42"/>
      <c r="S29" s="93"/>
      <c r="T29" s="93"/>
      <c r="U29" s="93"/>
      <c r="V29" s="94"/>
      <c r="W29" s="126"/>
      <c r="X29" s="93"/>
      <c r="Y29" s="93"/>
      <c r="AA29" s="2"/>
      <c r="AB29" s="8"/>
      <c r="AC29" s="9"/>
    </row>
    <row r="30" spans="2:29" ht="12.75">
      <c r="B30" s="9">
        <v>111</v>
      </c>
      <c r="C30" s="9">
        <f>B30/28.349523</f>
        <v>3.9154097936674277</v>
      </c>
      <c r="D30" s="9"/>
      <c r="E30" s="152" t="s">
        <v>675</v>
      </c>
      <c r="F30" s="9"/>
      <c r="I30" s="10"/>
      <c r="J30" s="6"/>
      <c r="K30" s="6"/>
      <c r="L30" s="6"/>
      <c r="M30" s="6"/>
      <c r="N30" s="6"/>
      <c r="O30" s="2"/>
      <c r="P30" s="16"/>
      <c r="Q30" s="9"/>
      <c r="R30" s="16"/>
      <c r="S30" s="16"/>
      <c r="T30" s="42"/>
      <c r="U30" s="60"/>
      <c r="V30" s="9"/>
      <c r="W30" s="9"/>
      <c r="X30" s="9"/>
      <c r="Y30" s="9"/>
      <c r="AA30" s="2"/>
      <c r="AB30" s="9"/>
      <c r="AC30" s="9"/>
    </row>
    <row r="31" spans="1:29" ht="12.75">
      <c r="A31" s="9"/>
      <c r="B31" s="9">
        <f>B30+B20</f>
        <v>1672</v>
      </c>
      <c r="C31" s="9">
        <f>B31/28.349523</f>
        <v>58.978064639747195</v>
      </c>
      <c r="D31" s="2">
        <f>C31/16</f>
        <v>3.6861290399841997</v>
      </c>
      <c r="E31" s="152" t="s">
        <v>676</v>
      </c>
      <c r="F31" s="9"/>
      <c r="I31" s="10"/>
      <c r="N31" s="109"/>
      <c r="O31" s="2"/>
      <c r="P31" s="9"/>
      <c r="Q31" s="9"/>
      <c r="R31" s="42"/>
      <c r="S31" s="46"/>
      <c r="T31" s="29"/>
      <c r="U31" s="60"/>
      <c r="V31" s="9"/>
      <c r="W31" s="9"/>
      <c r="X31" s="9"/>
      <c r="Y31" s="9"/>
      <c r="AA31" s="2"/>
      <c r="AB31" s="9"/>
      <c r="AC31" s="9"/>
    </row>
    <row r="32" spans="1:29" ht="12.75">
      <c r="A32" s="9"/>
      <c r="C32" s="2"/>
      <c r="D32" s="2"/>
      <c r="E32" s="11"/>
      <c r="I32" s="10"/>
      <c r="O32" s="2"/>
      <c r="Q32" s="9"/>
      <c r="R32" s="16"/>
      <c r="S32" s="16"/>
      <c r="T32" s="16"/>
      <c r="U32" s="60"/>
      <c r="V32" s="16"/>
      <c r="W32" s="9"/>
      <c r="X32" s="9"/>
      <c r="Y32" s="16"/>
      <c r="AA32" s="2"/>
      <c r="AB32" s="10"/>
      <c r="AC32" s="9"/>
    </row>
    <row r="33" spans="1:29" ht="12.75">
      <c r="A33" s="9"/>
      <c r="C33" s="2"/>
      <c r="D33" s="2"/>
      <c r="E33" s="11"/>
      <c r="F33" s="9"/>
      <c r="I33" s="10"/>
      <c r="O33" s="2"/>
      <c r="Q33" s="9"/>
      <c r="R33" s="29"/>
      <c r="S33" s="16"/>
      <c r="T33" s="29"/>
      <c r="U33" s="60"/>
      <c r="V33" s="16"/>
      <c r="W33" s="9"/>
      <c r="X33" s="9"/>
      <c r="Y33" s="16"/>
      <c r="AA33" s="2"/>
      <c r="AB33" s="32"/>
      <c r="AC33" s="9"/>
    </row>
    <row r="34" spans="1:29" ht="12.75">
      <c r="A34" s="9"/>
      <c r="C34" s="2"/>
      <c r="D34" s="2"/>
      <c r="E34" s="11"/>
      <c r="F34" s="9"/>
      <c r="I34" s="10"/>
      <c r="O34" s="2"/>
      <c r="P34" s="29"/>
      <c r="Q34" s="9"/>
      <c r="R34" s="29"/>
      <c r="S34" s="16"/>
      <c r="T34" s="16"/>
      <c r="U34" s="60"/>
      <c r="V34" s="16"/>
      <c r="W34" s="9"/>
      <c r="X34" s="9"/>
      <c r="Y34" s="16"/>
      <c r="AA34" s="2"/>
      <c r="AB34" s="11"/>
      <c r="AC34" s="9"/>
    </row>
    <row r="35" spans="1:29" ht="12.75">
      <c r="A35" s="9"/>
      <c r="C35" s="2"/>
      <c r="D35" s="2"/>
      <c r="E35" s="11"/>
      <c r="F35" s="9"/>
      <c r="I35" s="10"/>
      <c r="O35" s="2"/>
      <c r="P35" s="29"/>
      <c r="Q35" s="9"/>
      <c r="R35" s="16"/>
      <c r="S35" s="16"/>
      <c r="T35" s="16"/>
      <c r="U35" s="60"/>
      <c r="V35" s="16"/>
      <c r="W35" s="9"/>
      <c r="X35" s="9"/>
      <c r="Y35" s="16"/>
      <c r="AA35" s="2"/>
      <c r="AB35" s="11"/>
      <c r="AC35" s="9"/>
    </row>
    <row r="36" spans="1:29" ht="12.75">
      <c r="A36" s="9"/>
      <c r="B36" s="6"/>
      <c r="C36" s="2"/>
      <c r="D36" s="2"/>
      <c r="E36" s="11"/>
      <c r="F36" s="9"/>
      <c r="I36" s="6"/>
      <c r="O36" s="2"/>
      <c r="P36" s="42"/>
      <c r="Q36" s="9"/>
      <c r="R36" s="16"/>
      <c r="S36" s="29"/>
      <c r="T36" s="42"/>
      <c r="U36" s="60"/>
      <c r="V36" s="9"/>
      <c r="W36" s="9"/>
      <c r="X36" s="9"/>
      <c r="Y36" s="16"/>
      <c r="AA36" s="2"/>
      <c r="AB36" s="9"/>
      <c r="AC36" s="9"/>
    </row>
    <row r="37" spans="1:29" ht="12.75">
      <c r="A37" s="9"/>
      <c r="C37" s="2"/>
      <c r="D37" s="2"/>
      <c r="E37" s="11"/>
      <c r="F37" s="9"/>
      <c r="I37" s="10"/>
      <c r="O37" s="2"/>
      <c r="P37" s="42"/>
      <c r="Q37" s="9"/>
      <c r="R37" s="42"/>
      <c r="S37" s="29"/>
      <c r="T37" s="42"/>
      <c r="U37" s="60"/>
      <c r="V37" s="9"/>
      <c r="W37" s="9"/>
      <c r="X37" s="9"/>
      <c r="Y37" s="9"/>
      <c r="AA37" s="2"/>
      <c r="AB37" s="9"/>
      <c r="AC37" s="9"/>
    </row>
    <row r="38" spans="1:29" ht="12.75">
      <c r="A38" s="9"/>
      <c r="C38" s="2"/>
      <c r="D38" s="2"/>
      <c r="E38" s="11"/>
      <c r="F38" s="9"/>
      <c r="I38" s="10"/>
      <c r="O38" s="2"/>
      <c r="P38" s="29"/>
      <c r="Q38" s="9"/>
      <c r="R38" s="29"/>
      <c r="S38" s="16"/>
      <c r="T38" s="9"/>
      <c r="U38" s="60"/>
      <c r="V38" s="16"/>
      <c r="W38" s="9"/>
      <c r="X38" s="9"/>
      <c r="Y38" s="16"/>
      <c r="AA38" s="2"/>
      <c r="AB38" s="11"/>
      <c r="AC38" s="9"/>
    </row>
    <row r="39" spans="1:29" ht="12.75">
      <c r="A39" s="9"/>
      <c r="C39" s="2"/>
      <c r="D39" s="2"/>
      <c r="E39" s="11"/>
      <c r="F39" s="9"/>
      <c r="I39" s="10"/>
      <c r="O39" s="2"/>
      <c r="P39" s="16"/>
      <c r="Q39" s="9"/>
      <c r="R39" s="29"/>
      <c r="S39" s="16"/>
      <c r="T39" s="9"/>
      <c r="U39" s="60"/>
      <c r="V39" s="16"/>
      <c r="W39" s="9"/>
      <c r="X39" s="9"/>
      <c r="Y39" s="16"/>
      <c r="AA39" s="2"/>
      <c r="AB39" s="11"/>
      <c r="AC39" s="9"/>
    </row>
    <row r="40" spans="1:29" ht="12.75">
      <c r="A40" s="9"/>
      <c r="C40" s="2"/>
      <c r="D40" s="2"/>
      <c r="E40" s="11"/>
      <c r="F40" s="9"/>
      <c r="I40" s="10"/>
      <c r="O40" s="2"/>
      <c r="P40" s="29"/>
      <c r="Q40" s="9"/>
      <c r="R40" s="16"/>
      <c r="S40" s="16"/>
      <c r="T40" s="9"/>
      <c r="U40" s="60"/>
      <c r="V40" s="9"/>
      <c r="W40" s="9"/>
      <c r="X40" s="9"/>
      <c r="Y40" s="9"/>
      <c r="AA40" s="2"/>
      <c r="AB40" s="9"/>
      <c r="AC40" s="9"/>
    </row>
    <row r="41" spans="1:29" ht="12.75">
      <c r="A41" s="9"/>
      <c r="C41" s="2"/>
      <c r="D41" s="2"/>
      <c r="E41" s="11"/>
      <c r="F41" s="9"/>
      <c r="I41" s="10"/>
      <c r="O41" s="2"/>
      <c r="P41" s="29"/>
      <c r="Q41" s="9"/>
      <c r="R41" s="16"/>
      <c r="S41" s="16"/>
      <c r="T41" s="29"/>
      <c r="U41" s="60"/>
      <c r="V41" s="9"/>
      <c r="W41" s="9"/>
      <c r="X41" s="9"/>
      <c r="Y41" s="9"/>
      <c r="AA41" s="2"/>
      <c r="AB41" s="9"/>
      <c r="AC41" s="9"/>
    </row>
    <row r="42" spans="1:29" ht="12.75">
      <c r="A42" s="9"/>
      <c r="C42" s="2"/>
      <c r="D42" s="2"/>
      <c r="E42" s="11"/>
      <c r="F42" s="9"/>
      <c r="I42" s="10"/>
      <c r="O42" s="2"/>
      <c r="P42" s="42"/>
      <c r="Q42" s="9"/>
      <c r="R42" s="16"/>
      <c r="S42" s="16"/>
      <c r="T42" s="9"/>
      <c r="U42" s="60"/>
      <c r="V42" s="9"/>
      <c r="W42" s="9"/>
      <c r="X42" s="9"/>
      <c r="Y42" s="9"/>
      <c r="AA42" s="2"/>
      <c r="AB42" s="9"/>
      <c r="AC42" s="9"/>
    </row>
    <row r="43" spans="1:29" ht="12.75">
      <c r="A43" s="9"/>
      <c r="C43" s="2"/>
      <c r="D43" s="2"/>
      <c r="E43" s="11"/>
      <c r="F43" s="9"/>
      <c r="I43" s="10"/>
      <c r="O43" s="2"/>
      <c r="P43" s="42"/>
      <c r="Q43" s="9"/>
      <c r="R43" s="16"/>
      <c r="S43" s="16"/>
      <c r="T43" s="9"/>
      <c r="U43" s="60"/>
      <c r="V43" s="9"/>
      <c r="W43" s="9"/>
      <c r="X43" s="9"/>
      <c r="Y43" s="9"/>
      <c r="AA43" s="2"/>
      <c r="AB43" s="9"/>
      <c r="AC43" s="9"/>
    </row>
    <row r="44" spans="1:29" ht="12.75">
      <c r="A44" s="9"/>
      <c r="C44" s="2"/>
      <c r="D44" s="2"/>
      <c r="E44" s="11"/>
      <c r="F44" s="9"/>
      <c r="G44" s="33"/>
      <c r="I44" s="44"/>
      <c r="O44" s="2"/>
      <c r="P44" s="42"/>
      <c r="Q44" s="29"/>
      <c r="R44" s="29"/>
      <c r="S44" s="16"/>
      <c r="T44" s="9"/>
      <c r="U44" s="60"/>
      <c r="V44" s="9"/>
      <c r="W44" s="9"/>
      <c r="X44" s="9"/>
      <c r="Y44" s="9"/>
      <c r="AA44" s="2"/>
      <c r="AC44" s="9"/>
    </row>
    <row r="45" spans="1:29" ht="12.75">
      <c r="A45" s="9"/>
      <c r="C45" s="2"/>
      <c r="D45" s="2"/>
      <c r="E45" s="11"/>
      <c r="F45" s="9"/>
      <c r="G45" s="33"/>
      <c r="I45" s="10"/>
      <c r="O45" s="2"/>
      <c r="P45" s="42"/>
      <c r="Q45" s="9"/>
      <c r="R45" s="29"/>
      <c r="S45" s="16"/>
      <c r="T45" s="9"/>
      <c r="U45" s="60"/>
      <c r="V45" s="9"/>
      <c r="W45" s="9"/>
      <c r="X45" s="9"/>
      <c r="Y45" s="9"/>
      <c r="AA45" s="2"/>
      <c r="AC45" s="9"/>
    </row>
    <row r="46" spans="1:29" ht="12.75">
      <c r="A46" s="9"/>
      <c r="C46" s="2"/>
      <c r="D46" s="2"/>
      <c r="E46" s="11"/>
      <c r="F46" s="9"/>
      <c r="I46" s="10"/>
      <c r="O46" s="2"/>
      <c r="P46" s="42"/>
      <c r="Q46" s="9"/>
      <c r="R46" s="29"/>
      <c r="S46" s="16"/>
      <c r="T46" s="42"/>
      <c r="U46" s="60"/>
      <c r="V46" s="9"/>
      <c r="W46" s="9"/>
      <c r="X46" s="9"/>
      <c r="Y46" s="9"/>
      <c r="AA46" s="2"/>
      <c r="AC46" s="9"/>
    </row>
    <row r="47" spans="1:29" ht="12.75">
      <c r="A47" s="9"/>
      <c r="C47" s="2"/>
      <c r="D47" s="2"/>
      <c r="E47" s="11"/>
      <c r="F47" s="9"/>
      <c r="I47" s="16"/>
      <c r="O47" s="32"/>
      <c r="P47" s="42"/>
      <c r="Q47" s="9"/>
      <c r="R47" s="29"/>
      <c r="S47" s="16"/>
      <c r="T47" s="42"/>
      <c r="U47" s="60"/>
      <c r="V47" s="9"/>
      <c r="W47" s="9"/>
      <c r="X47" s="9"/>
      <c r="Y47" s="9"/>
      <c r="AA47" s="2"/>
      <c r="AC47" s="9"/>
    </row>
    <row r="48" spans="1:29" ht="12.75">
      <c r="A48" s="9"/>
      <c r="C48" s="2"/>
      <c r="D48" s="2"/>
      <c r="E48" s="11"/>
      <c r="F48" s="9"/>
      <c r="I48" s="10"/>
      <c r="O48" s="2"/>
      <c r="P48" s="42"/>
      <c r="Q48" s="9"/>
      <c r="R48" s="29"/>
      <c r="S48" s="16"/>
      <c r="T48" s="42"/>
      <c r="U48" s="60"/>
      <c r="V48" s="9"/>
      <c r="W48" s="9"/>
      <c r="X48" s="9"/>
      <c r="Y48" s="9"/>
      <c r="AA48" s="2"/>
      <c r="AC48" s="9"/>
    </row>
    <row r="49" spans="1:29" ht="12.75">
      <c r="A49" s="9"/>
      <c r="C49" s="2"/>
      <c r="D49" s="2"/>
      <c r="E49" s="11"/>
      <c r="F49" s="9"/>
      <c r="I49" s="44"/>
      <c r="O49" s="2"/>
      <c r="P49" s="42"/>
      <c r="Q49" s="9"/>
      <c r="R49" s="29"/>
      <c r="S49" s="16"/>
      <c r="T49" s="9"/>
      <c r="U49" s="60"/>
      <c r="V49" s="9"/>
      <c r="W49" s="9"/>
      <c r="X49" s="9"/>
      <c r="Y49" s="9"/>
      <c r="AA49" s="2"/>
      <c r="AC49" s="9"/>
    </row>
    <row r="50" spans="1:29" ht="12.75">
      <c r="A50" s="9"/>
      <c r="C50" s="2"/>
      <c r="D50" s="2"/>
      <c r="E50" s="11"/>
      <c r="F50" s="9"/>
      <c r="I50" s="10"/>
      <c r="O50" s="2"/>
      <c r="P50" s="9"/>
      <c r="Q50" s="29"/>
      <c r="R50" s="42"/>
      <c r="S50" s="16"/>
      <c r="T50" s="29"/>
      <c r="U50" s="60"/>
      <c r="V50" s="9"/>
      <c r="W50" s="9"/>
      <c r="X50" s="9"/>
      <c r="Y50" s="9"/>
      <c r="AA50" s="2"/>
      <c r="AB50" s="9"/>
      <c r="AC50" s="9"/>
    </row>
    <row r="51" spans="1:29" ht="12.75">
      <c r="A51" s="9"/>
      <c r="C51" s="2"/>
      <c r="D51" s="2"/>
      <c r="E51" s="11"/>
      <c r="F51" s="9"/>
      <c r="I51" s="10"/>
      <c r="O51" s="2"/>
      <c r="P51" s="9"/>
      <c r="Q51" s="29"/>
      <c r="R51" s="42"/>
      <c r="S51" s="16"/>
      <c r="T51" s="29"/>
      <c r="U51" s="60"/>
      <c r="V51" s="9"/>
      <c r="W51" s="9"/>
      <c r="X51" s="9"/>
      <c r="Y51" s="9"/>
      <c r="AA51" s="2"/>
      <c r="AB51" s="9"/>
      <c r="AC51" s="9"/>
    </row>
    <row r="52" spans="1:29" ht="12.75">
      <c r="A52" s="9"/>
      <c r="C52" s="2"/>
      <c r="D52" s="2"/>
      <c r="E52" s="11"/>
      <c r="F52" s="9"/>
      <c r="I52" s="10"/>
      <c r="O52" s="2"/>
      <c r="P52" s="9"/>
      <c r="Q52" s="29"/>
      <c r="R52" s="42"/>
      <c r="S52" s="16"/>
      <c r="T52" s="29"/>
      <c r="U52" s="60"/>
      <c r="V52" s="9"/>
      <c r="W52" s="9"/>
      <c r="X52" s="9"/>
      <c r="Y52" s="9"/>
      <c r="AA52" s="2"/>
      <c r="AB52" s="9"/>
      <c r="AC52" s="9"/>
    </row>
    <row r="53" spans="1:29" ht="12.75">
      <c r="A53" s="9"/>
      <c r="C53" s="2"/>
      <c r="D53" s="2"/>
      <c r="E53" s="11"/>
      <c r="F53" s="9"/>
      <c r="I53" s="10"/>
      <c r="O53" s="10"/>
      <c r="P53" s="9"/>
      <c r="Q53" s="29"/>
      <c r="R53" s="16"/>
      <c r="S53" s="16"/>
      <c r="T53" s="16"/>
      <c r="U53" s="60"/>
      <c r="V53" s="9"/>
      <c r="W53" s="9"/>
      <c r="X53" s="9"/>
      <c r="Y53" s="9"/>
      <c r="Z53" s="9"/>
      <c r="AA53" s="2"/>
      <c r="AB53" s="9"/>
      <c r="AC53" s="9"/>
    </row>
    <row r="54" spans="1:29" ht="12.75">
      <c r="A54" s="9"/>
      <c r="B54" s="9"/>
      <c r="C54" s="2"/>
      <c r="D54" s="2"/>
      <c r="E54" s="11"/>
      <c r="F54" s="9"/>
      <c r="I54" s="10"/>
      <c r="O54" s="10"/>
      <c r="P54" s="42"/>
      <c r="Q54" s="16"/>
      <c r="R54" s="29"/>
      <c r="S54" s="16"/>
      <c r="T54" s="16"/>
      <c r="U54" s="60"/>
      <c r="V54" s="16"/>
      <c r="W54" s="9"/>
      <c r="X54" s="9"/>
      <c r="Y54" s="16"/>
      <c r="AA54" s="2"/>
      <c r="AB54" s="9"/>
      <c r="AC54" s="9"/>
    </row>
    <row r="55" spans="1:29" ht="12.75">
      <c r="A55" s="9"/>
      <c r="B55" s="9"/>
      <c r="C55" s="2"/>
      <c r="D55" s="2"/>
      <c r="E55" s="11"/>
      <c r="F55" s="9"/>
      <c r="I55" s="10"/>
      <c r="O55" s="10"/>
      <c r="P55" s="42"/>
      <c r="Q55" s="16"/>
      <c r="R55" s="29"/>
      <c r="S55" s="16"/>
      <c r="T55" s="16"/>
      <c r="U55" s="60"/>
      <c r="V55" s="16"/>
      <c r="W55" s="9"/>
      <c r="X55" s="9"/>
      <c r="Y55" s="16"/>
      <c r="AA55" s="2"/>
      <c r="AB55" s="9"/>
      <c r="AC55" s="9"/>
    </row>
    <row r="56" spans="1:29" ht="12.75">
      <c r="A56" s="9"/>
      <c r="B56" s="9"/>
      <c r="C56" s="2"/>
      <c r="D56" s="2"/>
      <c r="E56" s="11"/>
      <c r="F56" s="9"/>
      <c r="I56" s="10"/>
      <c r="O56" s="10"/>
      <c r="P56" s="42"/>
      <c r="Q56" s="16"/>
      <c r="R56" s="29"/>
      <c r="S56" s="16"/>
      <c r="T56" s="16"/>
      <c r="U56" s="60"/>
      <c r="V56" s="16"/>
      <c r="W56" s="9"/>
      <c r="X56" s="9"/>
      <c r="Y56" s="16"/>
      <c r="AA56" s="2"/>
      <c r="AB56" s="9"/>
      <c r="AC56" s="9"/>
    </row>
    <row r="57" spans="1:29" ht="12.75">
      <c r="A57" s="9"/>
      <c r="B57" s="9"/>
      <c r="C57" s="2"/>
      <c r="D57" s="2"/>
      <c r="E57" s="11"/>
      <c r="F57" s="9"/>
      <c r="I57" s="10"/>
      <c r="O57" s="10"/>
      <c r="P57" s="42"/>
      <c r="Q57" s="16"/>
      <c r="R57" s="16"/>
      <c r="S57" s="16"/>
      <c r="T57" s="16"/>
      <c r="U57" s="60"/>
      <c r="V57" s="16"/>
      <c r="W57" s="9"/>
      <c r="X57" s="9"/>
      <c r="Y57" s="16"/>
      <c r="AA57" s="2"/>
      <c r="AB57" s="9"/>
      <c r="AC57" s="9"/>
    </row>
    <row r="58" spans="1:29" ht="12.75">
      <c r="A58" s="9"/>
      <c r="C58" s="2"/>
      <c r="D58" s="2"/>
      <c r="E58" s="11"/>
      <c r="F58" s="9"/>
      <c r="I58" s="10"/>
      <c r="O58" s="32"/>
      <c r="P58" s="9"/>
      <c r="Q58" s="29"/>
      <c r="R58" s="29"/>
      <c r="S58" s="16"/>
      <c r="T58" s="9"/>
      <c r="U58" s="60"/>
      <c r="V58" s="9"/>
      <c r="W58" s="9"/>
      <c r="X58" s="9"/>
      <c r="Y58" s="9"/>
      <c r="AA58" s="2"/>
      <c r="AC58" s="9"/>
    </row>
    <row r="59" spans="1:29" ht="12.75">
      <c r="A59" s="9"/>
      <c r="C59" s="2"/>
      <c r="D59" s="2"/>
      <c r="E59" s="11"/>
      <c r="F59" s="9"/>
      <c r="I59" s="10"/>
      <c r="O59" s="32"/>
      <c r="P59" s="42"/>
      <c r="Q59" s="29"/>
      <c r="R59" s="29"/>
      <c r="S59" s="16"/>
      <c r="T59" s="29"/>
      <c r="U59" s="60"/>
      <c r="V59" s="9"/>
      <c r="W59" s="9"/>
      <c r="X59" s="9"/>
      <c r="Y59" s="9"/>
      <c r="AA59" s="2"/>
      <c r="AB59" s="9"/>
      <c r="AC59" s="9"/>
    </row>
    <row r="60" spans="1:29" ht="12.75">
      <c r="A60" s="9"/>
      <c r="C60" s="2"/>
      <c r="D60" s="2"/>
      <c r="E60" s="11"/>
      <c r="F60" s="9"/>
      <c r="I60" s="10"/>
      <c r="O60" s="32"/>
      <c r="P60" s="42"/>
      <c r="Q60" s="29"/>
      <c r="R60" s="16"/>
      <c r="S60" s="16"/>
      <c r="T60" s="9"/>
      <c r="U60" s="60"/>
      <c r="V60" s="9"/>
      <c r="W60" s="9"/>
      <c r="X60" s="9"/>
      <c r="Y60" s="9"/>
      <c r="AA60" s="2"/>
      <c r="AB60" s="9"/>
      <c r="AC60" s="9"/>
    </row>
    <row r="61" spans="1:27" ht="12.75">
      <c r="A61" s="9"/>
      <c r="B61" s="12"/>
      <c r="C61" s="2"/>
      <c r="D61" s="2"/>
      <c r="E61" s="11"/>
      <c r="F61" s="9"/>
      <c r="I61" s="10"/>
      <c r="O61" s="32"/>
      <c r="P61" s="42"/>
      <c r="Q61" s="29"/>
      <c r="R61" s="16"/>
      <c r="S61" s="16"/>
      <c r="T61" s="9"/>
      <c r="U61" s="60"/>
      <c r="V61" s="9"/>
      <c r="W61" s="9"/>
      <c r="X61" s="9"/>
      <c r="Y61" s="9"/>
      <c r="AA61" s="2"/>
    </row>
    <row r="62" spans="1:27" ht="12.75">
      <c r="A62" s="9"/>
      <c r="B62" s="12"/>
      <c r="C62" s="2"/>
      <c r="D62" s="2"/>
      <c r="E62" s="11"/>
      <c r="F62" s="9"/>
      <c r="I62" s="10"/>
      <c r="O62" s="32"/>
      <c r="P62" s="42"/>
      <c r="Q62" s="29"/>
      <c r="R62" s="16"/>
      <c r="S62" s="16"/>
      <c r="T62" s="9"/>
      <c r="U62" s="60"/>
      <c r="V62" s="9"/>
      <c r="W62" s="9"/>
      <c r="X62" s="9"/>
      <c r="Y62" s="9"/>
      <c r="AA62" s="2"/>
    </row>
    <row r="63" spans="1:29" ht="12.75">
      <c r="A63" s="9"/>
      <c r="C63" s="2"/>
      <c r="D63" s="2"/>
      <c r="E63" s="11"/>
      <c r="F63" s="9"/>
      <c r="I63" s="10"/>
      <c r="O63" s="32"/>
      <c r="P63" s="42"/>
      <c r="Q63" s="29"/>
      <c r="R63" s="16"/>
      <c r="S63" s="16"/>
      <c r="T63" s="9"/>
      <c r="U63" s="60"/>
      <c r="V63" s="9"/>
      <c r="W63" s="9"/>
      <c r="X63" s="9"/>
      <c r="Y63" s="9"/>
      <c r="AA63" s="2"/>
      <c r="AB63" s="9"/>
      <c r="AC63" s="9"/>
    </row>
    <row r="64" spans="1:29" ht="12.75">
      <c r="A64" s="9"/>
      <c r="C64" s="2"/>
      <c r="D64" s="2"/>
      <c r="E64" s="11"/>
      <c r="F64" s="9"/>
      <c r="I64" s="10"/>
      <c r="O64" s="32"/>
      <c r="P64" s="42"/>
      <c r="Q64" s="29"/>
      <c r="R64" s="16"/>
      <c r="S64" s="16"/>
      <c r="T64" s="9"/>
      <c r="U64" s="60"/>
      <c r="V64" s="9"/>
      <c r="W64" s="9"/>
      <c r="X64" s="9"/>
      <c r="Y64" s="9"/>
      <c r="AA64" s="2"/>
      <c r="AB64" s="9"/>
      <c r="AC64" s="9"/>
    </row>
    <row r="65" spans="1:29" ht="12.75">
      <c r="A65" s="9"/>
      <c r="C65" s="2"/>
      <c r="D65" s="2"/>
      <c r="E65" s="11"/>
      <c r="F65" s="9"/>
      <c r="I65" s="10"/>
      <c r="O65" s="32"/>
      <c r="P65" s="9"/>
      <c r="Q65" s="9"/>
      <c r="R65" s="16"/>
      <c r="S65" s="16"/>
      <c r="T65" s="9"/>
      <c r="U65" s="60"/>
      <c r="V65" s="9"/>
      <c r="W65" s="9"/>
      <c r="X65" s="9"/>
      <c r="Y65" s="9"/>
      <c r="Z65" s="9"/>
      <c r="AA65" s="2"/>
      <c r="AB65" s="9"/>
      <c r="AC65" s="9"/>
    </row>
    <row r="66" spans="1:28" ht="12.75">
      <c r="A66" s="9"/>
      <c r="B66" s="12"/>
      <c r="C66" s="2"/>
      <c r="D66" s="2"/>
      <c r="E66" s="11"/>
      <c r="F66" s="9"/>
      <c r="I66" s="10"/>
      <c r="J66" s="6"/>
      <c r="K66" s="6"/>
      <c r="L66" s="6"/>
      <c r="M66" s="6"/>
      <c r="N66" s="6"/>
      <c r="O66" s="44"/>
      <c r="P66" s="42"/>
      <c r="Q66" s="42"/>
      <c r="R66" s="42"/>
      <c r="S66" s="46"/>
      <c r="T66" s="35"/>
      <c r="U66" s="60"/>
      <c r="V66" s="35"/>
      <c r="W66" s="35"/>
      <c r="X66" s="35"/>
      <c r="Y66" s="35"/>
      <c r="Z66" s="34"/>
      <c r="AA66" s="44"/>
      <c r="AB66" s="9"/>
    </row>
    <row r="67" spans="15:21" ht="12.75">
      <c r="O67" s="2"/>
      <c r="U67" s="60"/>
    </row>
    <row r="68" ht="12.75">
      <c r="U68" s="60"/>
    </row>
    <row r="69" ht="12.75">
      <c r="U69" s="60"/>
    </row>
    <row r="70" spans="1:29" ht="12.75">
      <c r="A70" s="9"/>
      <c r="C70" s="2"/>
      <c r="D70" s="2"/>
      <c r="E70" s="11"/>
      <c r="F70" s="9"/>
      <c r="I70" s="6"/>
      <c r="J70" s="6"/>
      <c r="K70" s="6"/>
      <c r="L70" s="6"/>
      <c r="M70" s="6"/>
      <c r="N70" s="6"/>
      <c r="O70" s="2"/>
      <c r="P70" s="29"/>
      <c r="Q70" s="9"/>
      <c r="R70" s="42"/>
      <c r="S70" s="16"/>
      <c r="T70" s="9"/>
      <c r="U70" s="60"/>
      <c r="V70" s="16"/>
      <c r="W70" s="9"/>
      <c r="X70" s="9"/>
      <c r="Y70" s="9"/>
      <c r="AA70" s="2"/>
      <c r="AC70" s="9"/>
    </row>
    <row r="71" spans="1:27" ht="12.75">
      <c r="A71" s="9"/>
      <c r="C71" s="2"/>
      <c r="D71" s="2"/>
      <c r="O71" s="2"/>
      <c r="P71" s="16"/>
      <c r="Q71" s="9"/>
      <c r="R71" s="16"/>
      <c r="S71" s="29"/>
      <c r="T71" s="9"/>
      <c r="U71" s="60"/>
      <c r="V71" s="16"/>
      <c r="W71" s="9"/>
      <c r="X71" s="9"/>
      <c r="Y71" s="9"/>
      <c r="AA71" s="2"/>
    </row>
    <row r="72" spans="1:27" ht="12.75">
      <c r="A72" s="9"/>
      <c r="C72" s="2"/>
      <c r="D72" s="2"/>
      <c r="O72" s="2"/>
      <c r="P72" s="16"/>
      <c r="Q72" s="9"/>
      <c r="R72" s="29"/>
      <c r="S72" s="16"/>
      <c r="T72" s="9"/>
      <c r="U72" s="60"/>
      <c r="V72" s="16"/>
      <c r="W72" s="9"/>
      <c r="X72" s="9"/>
      <c r="Y72" s="9"/>
      <c r="AA72" s="2"/>
    </row>
    <row r="76" spans="1:8" ht="12.75">
      <c r="A76" s="2"/>
      <c r="B76" s="11"/>
      <c r="H76" s="33"/>
    </row>
    <row r="80" ht="12.75">
      <c r="I80" s="27"/>
    </row>
  </sheetData>
  <printOptions/>
  <pageMargins left="0.75" right="0.75" top="1" bottom="1" header="0.5" footer="0.5"/>
  <pageSetup horizontalDpi="300" verticalDpi="300" orientation="portrait" r:id="rId1"/>
  <ignoredErrors>
    <ignoredError sqref="W21" formula="1"/>
  </ignoredErrors>
</worksheet>
</file>

<file path=xl/worksheets/sheet14.xml><?xml version="1.0" encoding="utf-8"?>
<worksheet xmlns="http://schemas.openxmlformats.org/spreadsheetml/2006/main" xmlns:r="http://schemas.openxmlformats.org/officeDocument/2006/relationships">
  <dimension ref="A1:T183"/>
  <sheetViews>
    <sheetView workbookViewId="0" topLeftCell="A1">
      <pane ySplit="1" topLeftCell="BM2" activePane="bottomLeft" state="frozen"/>
      <selection pane="topLeft" activeCell="A1" sqref="A1"/>
      <selection pane="bottomLeft" activeCell="A18" sqref="A18:IV18"/>
    </sheetView>
  </sheetViews>
  <sheetFormatPr defaultColWidth="9.140625" defaultRowHeight="12.75"/>
  <cols>
    <col min="2" max="2" width="10.140625" style="0" customWidth="1"/>
    <col min="3" max="3" width="6.00390625" style="0" bestFit="1" customWidth="1"/>
    <col min="4" max="4" width="5.00390625" style="0" customWidth="1"/>
    <col min="5" max="5" width="5.421875" style="0" customWidth="1"/>
    <col min="8" max="8" width="8.57421875" style="0" customWidth="1"/>
  </cols>
  <sheetData>
    <row r="1" spans="1:9" ht="12.75">
      <c r="A1" s="54"/>
      <c r="B1" t="s">
        <v>1131</v>
      </c>
      <c r="C1" t="s">
        <v>1132</v>
      </c>
      <c r="D1" t="s">
        <v>1265</v>
      </c>
      <c r="E1" t="s">
        <v>1133</v>
      </c>
      <c r="F1" t="s">
        <v>1135</v>
      </c>
      <c r="I1" t="s">
        <v>1134</v>
      </c>
    </row>
    <row r="2" spans="1:16" ht="13.5" thickBot="1">
      <c r="A2" s="54"/>
      <c r="F2" t="s">
        <v>637</v>
      </c>
      <c r="I2" s="92"/>
      <c r="J2" s="92"/>
      <c r="K2" s="92"/>
      <c r="L2" s="92"/>
      <c r="M2" s="92"/>
      <c r="N2" s="92"/>
      <c r="O2" s="92"/>
      <c r="P2" s="92"/>
    </row>
    <row r="3" spans="1:19" ht="13.5" thickBot="1">
      <c r="A3" s="132"/>
      <c r="B3" s="159"/>
      <c r="C3" s="171">
        <v>32</v>
      </c>
      <c r="D3" s="55">
        <f>C3/28.349523</f>
        <v>1.1287667873635827</v>
      </c>
      <c r="E3" s="55">
        <f>D3/16</f>
        <v>0.07054792421022392</v>
      </c>
      <c r="F3" s="59" t="s">
        <v>1709</v>
      </c>
      <c r="G3" s="54"/>
      <c r="H3" s="54"/>
      <c r="I3" s="92"/>
      <c r="J3" s="92"/>
      <c r="K3" s="92"/>
      <c r="L3" s="92"/>
      <c r="M3" s="92"/>
      <c r="N3" s="92"/>
      <c r="O3" s="92"/>
      <c r="P3" s="92"/>
      <c r="Q3" s="92"/>
      <c r="R3" s="92"/>
      <c r="S3" s="92"/>
    </row>
    <row r="4" spans="1:19" ht="13.5" thickBot="1">
      <c r="A4" s="132"/>
      <c r="B4" s="159"/>
      <c r="C4" s="103">
        <v>57</v>
      </c>
      <c r="D4" s="55">
        <f>C4/28.349523</f>
        <v>2.010615839991382</v>
      </c>
      <c r="E4" s="55">
        <f>D4/16</f>
        <v>0.12566348999946136</v>
      </c>
      <c r="F4" s="54" t="s">
        <v>838</v>
      </c>
      <c r="G4" s="54"/>
      <c r="H4" s="54"/>
      <c r="I4" s="92" t="s">
        <v>838</v>
      </c>
      <c r="J4" s="92"/>
      <c r="K4" s="92"/>
      <c r="L4" s="92"/>
      <c r="M4" s="92"/>
      <c r="N4" s="92"/>
      <c r="O4" s="92"/>
      <c r="P4" s="92"/>
      <c r="Q4" s="92"/>
      <c r="R4" s="92"/>
      <c r="S4" s="92"/>
    </row>
    <row r="5" spans="1:19" ht="13.5" thickBot="1">
      <c r="A5" s="132"/>
      <c r="B5" s="159"/>
      <c r="C5" s="93">
        <v>19</v>
      </c>
      <c r="D5" s="94">
        <f>C5/28.349523</f>
        <v>0.6702052799971272</v>
      </c>
      <c r="E5" s="55"/>
      <c r="F5" s="56" t="s">
        <v>1803</v>
      </c>
      <c r="G5" s="54"/>
      <c r="H5" s="54"/>
      <c r="I5" s="92"/>
      <c r="J5" s="92"/>
      <c r="K5" s="92"/>
      <c r="L5" s="92"/>
      <c r="M5" s="92"/>
      <c r="N5" s="92"/>
      <c r="O5" s="92"/>
      <c r="P5" s="92"/>
      <c r="Q5" s="92"/>
      <c r="R5" s="92"/>
      <c r="S5" s="92"/>
    </row>
    <row r="6" spans="1:19" ht="13.5" thickBot="1">
      <c r="A6" s="132"/>
      <c r="B6" s="159"/>
      <c r="C6" s="103"/>
      <c r="D6" s="55"/>
      <c r="E6" s="55"/>
      <c r="F6" s="56" t="s">
        <v>16</v>
      </c>
      <c r="G6" s="87"/>
      <c r="H6" s="54"/>
      <c r="I6" s="92" t="s">
        <v>1191</v>
      </c>
      <c r="J6" s="92"/>
      <c r="K6" s="92"/>
      <c r="L6" s="92"/>
      <c r="M6" s="92"/>
      <c r="N6" s="94"/>
      <c r="O6" s="92"/>
      <c r="P6" s="134"/>
      <c r="Q6" s="92"/>
      <c r="R6" s="92"/>
      <c r="S6" s="92"/>
    </row>
    <row r="7" spans="1:8" ht="13.5" thickBot="1">
      <c r="A7" s="132"/>
      <c r="B7" s="159"/>
      <c r="C7" s="9">
        <v>146</v>
      </c>
      <c r="D7" s="55">
        <f>C7/28.349523</f>
        <v>5.149998467346347</v>
      </c>
      <c r="E7" s="55">
        <f>D7/16</f>
        <v>0.32187490420914666</v>
      </c>
      <c r="F7" s="54" t="s">
        <v>1464</v>
      </c>
      <c r="G7" s="87"/>
      <c r="H7" s="54"/>
    </row>
    <row r="8" spans="1:19" ht="12.75">
      <c r="A8" s="54"/>
      <c r="B8" s="66" t="s">
        <v>1620</v>
      </c>
      <c r="C8" s="57">
        <v>16</v>
      </c>
      <c r="D8" s="55"/>
      <c r="E8" s="55"/>
      <c r="F8" s="56" t="s">
        <v>891</v>
      </c>
      <c r="G8" s="54"/>
      <c r="H8" s="54"/>
      <c r="I8" s="92"/>
      <c r="J8" s="92"/>
      <c r="K8" s="92"/>
      <c r="L8" s="92"/>
      <c r="M8" s="92"/>
      <c r="N8" s="92"/>
      <c r="O8" s="92"/>
      <c r="P8" s="92"/>
      <c r="Q8" s="92"/>
      <c r="R8" s="92"/>
      <c r="S8" s="92"/>
    </row>
    <row r="9" spans="1:19" ht="12.75">
      <c r="A9" s="54"/>
      <c r="B9" s="66" t="s">
        <v>1620</v>
      </c>
      <c r="C9" s="54">
        <v>15</v>
      </c>
      <c r="D9" s="55">
        <f aca="true" t="shared" si="0" ref="D9:D14">C9/28.349523</f>
        <v>0.5291094315766794</v>
      </c>
      <c r="E9" s="54"/>
      <c r="F9" s="54" t="s">
        <v>10</v>
      </c>
      <c r="G9" s="54"/>
      <c r="H9" s="54"/>
      <c r="I9" s="92" t="s">
        <v>1285</v>
      </c>
      <c r="J9" s="92"/>
      <c r="K9" s="92"/>
      <c r="L9" s="92"/>
      <c r="M9" s="92"/>
      <c r="N9" s="92"/>
      <c r="O9" s="92"/>
      <c r="P9" s="92"/>
      <c r="Q9" s="92"/>
      <c r="R9" s="92"/>
      <c r="S9" s="92"/>
    </row>
    <row r="10" spans="1:19" ht="12.75">
      <c r="A10" s="54"/>
      <c r="B10" s="66" t="s">
        <v>1620</v>
      </c>
      <c r="C10" s="54">
        <v>20</v>
      </c>
      <c r="D10" s="55">
        <f t="shared" si="0"/>
        <v>0.7054792421022392</v>
      </c>
      <c r="E10" s="54"/>
      <c r="F10" s="54" t="s">
        <v>11</v>
      </c>
      <c r="G10" s="54"/>
      <c r="H10" s="54"/>
      <c r="I10" s="92" t="s">
        <v>13</v>
      </c>
      <c r="J10" s="92"/>
      <c r="K10" s="92"/>
      <c r="L10" s="92"/>
      <c r="M10" s="92"/>
      <c r="N10" s="92"/>
      <c r="O10" s="92"/>
      <c r="P10" s="92"/>
      <c r="Q10" s="92"/>
      <c r="R10" s="92"/>
      <c r="S10" s="92"/>
    </row>
    <row r="11" spans="1:15" ht="12.75">
      <c r="A11" s="54"/>
      <c r="B11" s="66" t="s">
        <v>1620</v>
      </c>
      <c r="C11" s="57">
        <v>196</v>
      </c>
      <c r="D11" s="55">
        <f t="shared" si="0"/>
        <v>6.913696572601944</v>
      </c>
      <c r="E11" s="55">
        <f>D11/16</f>
        <v>0.4321060357876215</v>
      </c>
      <c r="F11" s="96" t="s">
        <v>649</v>
      </c>
      <c r="G11" s="54"/>
      <c r="H11" s="54"/>
      <c r="I11" s="177" t="s">
        <v>1276</v>
      </c>
      <c r="J11" s="92"/>
      <c r="K11" s="92"/>
      <c r="L11" s="92"/>
      <c r="M11" s="92"/>
      <c r="N11" s="92"/>
      <c r="O11" s="92"/>
    </row>
    <row r="12" spans="1:15" ht="12.75">
      <c r="A12" s="54"/>
      <c r="B12" s="66" t="s">
        <v>1620</v>
      </c>
      <c r="C12" s="54">
        <v>470</v>
      </c>
      <c r="D12" s="55">
        <f t="shared" si="0"/>
        <v>16.57876218940262</v>
      </c>
      <c r="E12" s="55">
        <f>D12/16</f>
        <v>1.0361726368376638</v>
      </c>
      <c r="F12" s="96" t="s">
        <v>1460</v>
      </c>
      <c r="G12" s="54"/>
      <c r="H12" s="54"/>
      <c r="I12" s="177" t="s">
        <v>1461</v>
      </c>
      <c r="J12" s="92"/>
      <c r="K12" s="92"/>
      <c r="L12" s="92"/>
      <c r="M12" s="92"/>
      <c r="N12" s="92"/>
      <c r="O12" s="92"/>
    </row>
    <row r="13" spans="1:19" ht="12.75">
      <c r="A13" s="54"/>
      <c r="B13" s="66" t="s">
        <v>1620</v>
      </c>
      <c r="C13" s="57">
        <v>26</v>
      </c>
      <c r="D13" s="55">
        <f t="shared" si="0"/>
        <v>0.917123014732911</v>
      </c>
      <c r="E13" s="55"/>
      <c r="F13" s="96" t="s">
        <v>18</v>
      </c>
      <c r="G13" s="54"/>
      <c r="H13" s="54"/>
      <c r="I13" s="139" t="s">
        <v>19</v>
      </c>
      <c r="J13" s="92"/>
      <c r="K13" s="92"/>
      <c r="L13" s="92"/>
      <c r="M13" s="92"/>
      <c r="N13" s="92"/>
      <c r="O13" s="92"/>
      <c r="P13" s="92"/>
      <c r="Q13" s="92"/>
      <c r="R13" s="92"/>
      <c r="S13" s="92"/>
    </row>
    <row r="14" spans="1:19" ht="12.75">
      <c r="A14" s="54"/>
      <c r="B14" s="201" t="s">
        <v>1620</v>
      </c>
      <c r="C14" s="68">
        <v>22</v>
      </c>
      <c r="D14" s="69">
        <f t="shared" si="0"/>
        <v>0.7760271663124632</v>
      </c>
      <c r="E14" s="183"/>
      <c r="F14" s="187" t="s">
        <v>414</v>
      </c>
      <c r="G14" s="67"/>
      <c r="H14" s="67"/>
      <c r="I14" s="149" t="s">
        <v>9</v>
      </c>
      <c r="J14" s="92"/>
      <c r="K14" s="92"/>
      <c r="L14" s="92"/>
      <c r="M14" s="92"/>
      <c r="N14" s="92"/>
      <c r="O14" s="92"/>
      <c r="P14" s="92"/>
      <c r="Q14" s="92"/>
      <c r="R14" s="92"/>
      <c r="S14" s="92"/>
    </row>
    <row r="15" spans="1:20" ht="12.75">
      <c r="A15" s="54"/>
      <c r="B15" s="200" t="s">
        <v>1620</v>
      </c>
      <c r="C15" s="54"/>
      <c r="D15" s="54"/>
      <c r="E15" s="87"/>
      <c r="F15" s="118" t="s">
        <v>2087</v>
      </c>
      <c r="G15" s="54"/>
      <c r="H15" s="54"/>
      <c r="I15" s="156" t="s">
        <v>2090</v>
      </c>
      <c r="J15" s="72"/>
      <c r="K15" s="72"/>
      <c r="L15" s="72"/>
      <c r="M15" s="72"/>
      <c r="N15" s="72"/>
      <c r="O15" s="73"/>
      <c r="P15" s="92"/>
      <c r="Q15" s="92"/>
      <c r="R15" s="92"/>
      <c r="S15" s="92"/>
      <c r="T15" s="92"/>
    </row>
    <row r="16" spans="1:20" ht="12.75">
      <c r="A16" s="54"/>
      <c r="B16" s="200" t="s">
        <v>1620</v>
      </c>
      <c r="C16" s="57">
        <v>124</v>
      </c>
      <c r="D16" s="55">
        <f>C16/28.349523</f>
        <v>4.373971301033883</v>
      </c>
      <c r="E16" s="198">
        <f>D16/16</f>
        <v>0.2733732063146177</v>
      </c>
      <c r="F16" s="118" t="s">
        <v>15</v>
      </c>
      <c r="G16" s="54"/>
      <c r="H16" s="54"/>
      <c r="I16" s="157" t="s">
        <v>2089</v>
      </c>
      <c r="J16" s="92"/>
      <c r="K16" s="92"/>
      <c r="L16" s="92"/>
      <c r="M16" s="92"/>
      <c r="N16" s="92"/>
      <c r="O16" s="153"/>
      <c r="P16" s="92"/>
      <c r="Q16" s="92"/>
      <c r="R16" s="92"/>
      <c r="S16" s="92"/>
      <c r="T16" s="92"/>
    </row>
    <row r="17" spans="1:20" ht="12.75">
      <c r="A17" s="54"/>
      <c r="B17" s="200" t="s">
        <v>1620</v>
      </c>
      <c r="C17" s="57"/>
      <c r="D17" s="55"/>
      <c r="E17" s="199"/>
      <c r="F17" s="118" t="s">
        <v>14</v>
      </c>
      <c r="G17" s="54"/>
      <c r="H17" s="54"/>
      <c r="I17" s="158" t="s">
        <v>2091</v>
      </c>
      <c r="J17" s="154"/>
      <c r="K17" s="154"/>
      <c r="L17" s="154"/>
      <c r="M17" s="154"/>
      <c r="N17" s="154"/>
      <c r="O17" s="155"/>
      <c r="P17" s="92"/>
      <c r="Q17" s="92"/>
      <c r="R17" s="92"/>
      <c r="S17" s="92"/>
      <c r="T17" s="92"/>
    </row>
    <row r="18" spans="1:19" ht="12.75">
      <c r="A18" s="54"/>
      <c r="B18" s="200" t="s">
        <v>1620</v>
      </c>
      <c r="C18" s="54">
        <v>60</v>
      </c>
      <c r="D18" s="55">
        <f aca="true" t="shared" si="1" ref="D18:D50">C18/28.349523</f>
        <v>2.116437726306718</v>
      </c>
      <c r="E18" s="198"/>
      <c r="F18" s="59" t="s">
        <v>1280</v>
      </c>
      <c r="G18" s="54"/>
      <c r="H18" s="54"/>
      <c r="I18" s="92"/>
      <c r="J18" s="92"/>
      <c r="K18" s="92"/>
      <c r="L18" s="92"/>
      <c r="M18" s="92"/>
      <c r="N18" s="92"/>
      <c r="O18" s="92"/>
      <c r="P18" s="92"/>
      <c r="Q18" s="92"/>
      <c r="R18" s="92"/>
      <c r="S18" s="92"/>
    </row>
    <row r="19" spans="1:19" ht="12.75">
      <c r="A19" s="54"/>
      <c r="B19" s="66" t="s">
        <v>1620</v>
      </c>
      <c r="C19" s="54">
        <v>14</v>
      </c>
      <c r="D19" s="55">
        <f t="shared" si="1"/>
        <v>0.4938354694715675</v>
      </c>
      <c r="E19" s="66"/>
      <c r="F19" s="54" t="s">
        <v>1221</v>
      </c>
      <c r="G19" s="54"/>
      <c r="H19" s="54"/>
      <c r="I19" s="149" t="s">
        <v>2092</v>
      </c>
      <c r="J19" s="92"/>
      <c r="K19" s="92"/>
      <c r="L19" s="92"/>
      <c r="M19" s="92"/>
      <c r="N19" s="92"/>
      <c r="O19" s="92"/>
      <c r="P19" s="92"/>
      <c r="Q19" s="92"/>
      <c r="R19" s="92"/>
      <c r="S19" s="92"/>
    </row>
    <row r="20" spans="1:19" ht="12.75">
      <c r="A20" s="54"/>
      <c r="B20" s="66" t="s">
        <v>1620</v>
      </c>
      <c r="C20" s="57">
        <v>20</v>
      </c>
      <c r="D20" s="55">
        <f t="shared" si="1"/>
        <v>0.7054792421022392</v>
      </c>
      <c r="E20" s="198"/>
      <c r="F20" s="54" t="s">
        <v>655</v>
      </c>
      <c r="G20" s="54"/>
      <c r="H20" s="54"/>
      <c r="I20" s="66" t="s">
        <v>1432</v>
      </c>
      <c r="J20" s="92"/>
      <c r="K20" s="92"/>
      <c r="L20" s="92"/>
      <c r="M20" s="92"/>
      <c r="N20" s="92"/>
      <c r="O20" s="92"/>
      <c r="P20" s="92"/>
      <c r="Q20" s="92"/>
      <c r="R20" s="92"/>
      <c r="S20" s="92"/>
    </row>
    <row r="21" spans="1:19" ht="12.75">
      <c r="A21" s="54"/>
      <c r="B21" s="66" t="s">
        <v>1620</v>
      </c>
      <c r="C21" s="57">
        <v>14</v>
      </c>
      <c r="D21" s="55">
        <f t="shared" si="1"/>
        <v>0.4938354694715675</v>
      </c>
      <c r="E21" s="199"/>
      <c r="F21" s="56" t="s">
        <v>342</v>
      </c>
      <c r="G21" s="54"/>
      <c r="H21" s="54"/>
      <c r="I21" s="178" t="s">
        <v>341</v>
      </c>
      <c r="J21" s="92"/>
      <c r="K21" s="92"/>
      <c r="L21" s="92"/>
      <c r="M21" s="92"/>
      <c r="N21" s="92"/>
      <c r="O21" s="92"/>
      <c r="P21" s="92"/>
      <c r="Q21" s="92"/>
      <c r="R21" s="92"/>
      <c r="S21" s="92"/>
    </row>
    <row r="22" spans="1:19" ht="12.75">
      <c r="A22" s="54"/>
      <c r="B22" s="66" t="s">
        <v>1620</v>
      </c>
      <c r="C22" s="57">
        <v>14</v>
      </c>
      <c r="D22" s="55">
        <f t="shared" si="1"/>
        <v>0.4938354694715675</v>
      </c>
      <c r="E22" s="199"/>
      <c r="F22" s="97" t="s">
        <v>1319</v>
      </c>
      <c r="G22" s="54"/>
      <c r="H22" s="54"/>
      <c r="I22" s="95" t="s">
        <v>1320</v>
      </c>
      <c r="J22" s="92"/>
      <c r="K22" s="92"/>
      <c r="L22" s="92"/>
      <c r="M22" s="92"/>
      <c r="N22" s="92"/>
      <c r="O22" s="92"/>
      <c r="P22" s="92"/>
      <c r="Q22" s="92"/>
      <c r="R22" s="92"/>
      <c r="S22" s="92"/>
    </row>
    <row r="23" spans="1:9" ht="12" customHeight="1">
      <c r="A23" s="54"/>
      <c r="B23" s="66" t="s">
        <v>1620</v>
      </c>
      <c r="C23" s="57">
        <v>86</v>
      </c>
      <c r="D23" s="55">
        <f t="shared" si="1"/>
        <v>3.033560741039629</v>
      </c>
      <c r="E23" s="2">
        <f>D23/16</f>
        <v>0.1895975463149768</v>
      </c>
      <c r="F23" s="106" t="s">
        <v>1283</v>
      </c>
      <c r="I23" s="4" t="s">
        <v>1284</v>
      </c>
    </row>
    <row r="24" spans="1:19" ht="12.75">
      <c r="A24" s="54"/>
      <c r="B24" s="66" t="s">
        <v>1620</v>
      </c>
      <c r="C24" s="54">
        <v>21</v>
      </c>
      <c r="D24" s="55">
        <f t="shared" si="1"/>
        <v>0.7407532042073511</v>
      </c>
      <c r="E24" s="66"/>
      <c r="F24" s="54" t="s">
        <v>646</v>
      </c>
      <c r="G24" s="54"/>
      <c r="H24" s="54"/>
      <c r="I24" s="95" t="s">
        <v>245</v>
      </c>
      <c r="J24" s="92"/>
      <c r="K24" s="92"/>
      <c r="L24" s="92"/>
      <c r="M24" s="92"/>
      <c r="N24" s="92"/>
      <c r="O24" s="92"/>
      <c r="P24" s="92"/>
      <c r="Q24" s="92"/>
      <c r="R24" s="92"/>
      <c r="S24" s="92"/>
    </row>
    <row r="25" spans="1:19" ht="12.75">
      <c r="A25" s="54"/>
      <c r="B25" s="66" t="s">
        <v>1620</v>
      </c>
      <c r="C25" s="57">
        <v>243</v>
      </c>
      <c r="D25" s="55">
        <f t="shared" si="1"/>
        <v>8.571572791542206</v>
      </c>
      <c r="E25" s="198">
        <f>D25/16</f>
        <v>0.5357232994713879</v>
      </c>
      <c r="F25" s="147" t="s">
        <v>659</v>
      </c>
      <c r="G25" s="54"/>
      <c r="H25" s="54"/>
      <c r="I25" s="139" t="s">
        <v>246</v>
      </c>
      <c r="J25" s="92"/>
      <c r="K25" s="92"/>
      <c r="L25" s="92"/>
      <c r="M25" s="92"/>
      <c r="N25" s="92"/>
      <c r="O25" s="92"/>
      <c r="P25" s="92"/>
      <c r="Q25" s="92"/>
      <c r="R25" s="92"/>
      <c r="S25" s="92"/>
    </row>
    <row r="26" spans="1:19" ht="12.75">
      <c r="A26" s="54"/>
      <c r="B26" s="200" t="s">
        <v>1620</v>
      </c>
      <c r="C26" s="57">
        <v>236</v>
      </c>
      <c r="D26" s="55">
        <f t="shared" si="1"/>
        <v>8.324655056806423</v>
      </c>
      <c r="E26" s="198">
        <f>D26/16</f>
        <v>0.5202909410504014</v>
      </c>
      <c r="F26" s="54" t="s">
        <v>2005</v>
      </c>
      <c r="G26" s="87"/>
      <c r="H26" s="54"/>
      <c r="I26" s="92" t="s">
        <v>2071</v>
      </c>
      <c r="J26" s="92"/>
      <c r="K26" s="92"/>
      <c r="L26" s="92"/>
      <c r="M26" s="92"/>
      <c r="N26" s="92"/>
      <c r="O26" s="92"/>
      <c r="P26" s="92"/>
      <c r="Q26" s="92"/>
      <c r="R26" s="92"/>
      <c r="S26" s="92"/>
    </row>
    <row r="27" spans="1:19" ht="12.75">
      <c r="A27" s="54"/>
      <c r="B27" s="66" t="s">
        <v>1620</v>
      </c>
      <c r="C27" s="57">
        <v>86</v>
      </c>
      <c r="D27" s="55">
        <f t="shared" si="1"/>
        <v>3.033560741039629</v>
      </c>
      <c r="E27" s="55"/>
      <c r="F27" s="54" t="s">
        <v>2008</v>
      </c>
      <c r="G27" s="87"/>
      <c r="H27" s="54"/>
      <c r="I27" s="92" t="s">
        <v>2007</v>
      </c>
      <c r="J27" s="92"/>
      <c r="K27" s="92"/>
      <c r="L27" s="92"/>
      <c r="M27" s="92"/>
      <c r="N27" s="92"/>
      <c r="O27" s="92"/>
      <c r="P27" s="92"/>
      <c r="Q27" s="92"/>
      <c r="R27" s="92"/>
      <c r="S27" s="92"/>
    </row>
    <row r="28" spans="1:19" ht="12.75">
      <c r="A28" s="54"/>
      <c r="B28" s="66" t="s">
        <v>1620</v>
      </c>
      <c r="C28" s="54">
        <v>32</v>
      </c>
      <c r="D28" s="55">
        <f t="shared" si="1"/>
        <v>1.1287667873635827</v>
      </c>
      <c r="E28" s="55"/>
      <c r="F28" s="54" t="s">
        <v>222</v>
      </c>
      <c r="G28" s="54"/>
      <c r="H28" s="54"/>
      <c r="I28" s="139" t="s">
        <v>1288</v>
      </c>
      <c r="J28" s="92"/>
      <c r="K28" s="92"/>
      <c r="L28" s="92"/>
      <c r="M28" s="92"/>
      <c r="N28" s="92"/>
      <c r="O28" s="92"/>
      <c r="P28" s="92"/>
      <c r="Q28" s="92"/>
      <c r="R28" s="92"/>
      <c r="S28" s="92"/>
    </row>
    <row r="29" spans="1:19" ht="12.75">
      <c r="A29" s="54"/>
      <c r="B29" s="66" t="s">
        <v>1620</v>
      </c>
      <c r="C29" s="54">
        <v>18</v>
      </c>
      <c r="D29" s="55">
        <f t="shared" si="1"/>
        <v>0.6349313178920153</v>
      </c>
      <c r="E29" s="55"/>
      <c r="F29" s="54" t="s">
        <v>2017</v>
      </c>
      <c r="G29" s="54"/>
      <c r="H29" s="54"/>
      <c r="I29" s="139" t="s">
        <v>432</v>
      </c>
      <c r="J29" s="92"/>
      <c r="K29" s="92"/>
      <c r="L29" s="92"/>
      <c r="M29" s="92"/>
      <c r="N29" s="92"/>
      <c r="O29" s="92"/>
      <c r="P29" s="92"/>
      <c r="Q29" s="92"/>
      <c r="R29" s="92"/>
      <c r="S29" s="92"/>
    </row>
    <row r="30" spans="1:19" ht="12.75">
      <c r="A30" s="54"/>
      <c r="B30" s="200" t="s">
        <v>1620</v>
      </c>
      <c r="C30" s="57">
        <v>60</v>
      </c>
      <c r="D30" s="55">
        <f t="shared" si="1"/>
        <v>2.116437726306718</v>
      </c>
      <c r="E30" s="55"/>
      <c r="F30" s="56" t="s">
        <v>23</v>
      </c>
      <c r="G30" s="54"/>
      <c r="H30" s="54"/>
      <c r="I30" s="92"/>
      <c r="J30" s="92"/>
      <c r="K30" s="92"/>
      <c r="L30" s="92"/>
      <c r="M30" s="92"/>
      <c r="N30" s="92"/>
      <c r="O30" s="92"/>
      <c r="P30" s="92"/>
      <c r="Q30" s="92"/>
      <c r="R30" s="92"/>
      <c r="S30" s="92"/>
    </row>
    <row r="31" spans="1:19" ht="12.75">
      <c r="A31" s="54"/>
      <c r="B31" s="200" t="s">
        <v>1620</v>
      </c>
      <c r="C31" s="147">
        <v>24</v>
      </c>
      <c r="D31" s="55">
        <f t="shared" si="1"/>
        <v>0.8465750905226871</v>
      </c>
      <c r="E31" s="160"/>
      <c r="F31" s="97" t="s">
        <v>321</v>
      </c>
      <c r="G31" s="54"/>
      <c r="H31" s="54"/>
      <c r="I31" s="92" t="s">
        <v>1287</v>
      </c>
      <c r="J31" s="92"/>
      <c r="K31" s="92"/>
      <c r="L31" s="92"/>
      <c r="M31" s="92"/>
      <c r="N31" s="92"/>
      <c r="O31" s="92"/>
      <c r="P31" s="92"/>
      <c r="Q31" s="92"/>
      <c r="R31" s="92"/>
      <c r="S31" s="92"/>
    </row>
    <row r="32" spans="1:19" ht="12.75">
      <c r="A32" s="54"/>
      <c r="B32" s="66" t="s">
        <v>1620</v>
      </c>
      <c r="C32" s="54">
        <v>36</v>
      </c>
      <c r="D32" s="55">
        <f t="shared" si="1"/>
        <v>1.2698626357840306</v>
      </c>
      <c r="E32" s="55"/>
      <c r="F32" s="147" t="s">
        <v>322</v>
      </c>
      <c r="G32" s="54"/>
      <c r="H32" s="54"/>
      <c r="I32" s="150" t="s">
        <v>1286</v>
      </c>
      <c r="J32" s="92"/>
      <c r="K32" s="92"/>
      <c r="L32" s="92"/>
      <c r="M32" s="92"/>
      <c r="N32" s="92"/>
      <c r="O32" s="92"/>
      <c r="P32" s="92"/>
      <c r="Q32" s="92"/>
      <c r="R32" s="92"/>
      <c r="S32" s="92"/>
    </row>
    <row r="33" spans="1:19" ht="12.75">
      <c r="A33" s="54"/>
      <c r="B33" s="200" t="s">
        <v>1620</v>
      </c>
      <c r="C33" s="61">
        <v>277</v>
      </c>
      <c r="D33" s="55">
        <f t="shared" si="1"/>
        <v>9.770887503116013</v>
      </c>
      <c r="E33" s="55">
        <f>D33/16</f>
        <v>0.6106804689447508</v>
      </c>
      <c r="F33" s="96" t="s">
        <v>2019</v>
      </c>
      <c r="G33" s="87"/>
      <c r="H33" s="54"/>
      <c r="I33" s="139" t="s">
        <v>2020</v>
      </c>
      <c r="J33" s="92"/>
      <c r="K33" s="92"/>
      <c r="L33" s="92"/>
      <c r="M33" s="92"/>
      <c r="N33" s="92"/>
      <c r="O33" s="92"/>
      <c r="P33" s="92"/>
      <c r="Q33" s="92"/>
      <c r="R33" s="92"/>
      <c r="S33" s="92"/>
    </row>
    <row r="34" spans="1:19" ht="12.75">
      <c r="A34" s="54"/>
      <c r="B34" s="66" t="s">
        <v>1620</v>
      </c>
      <c r="C34" s="54">
        <v>5</v>
      </c>
      <c r="D34" s="55">
        <f t="shared" si="1"/>
        <v>0.1763698105255598</v>
      </c>
      <c r="E34" s="55"/>
      <c r="F34" s="54" t="s">
        <v>28</v>
      </c>
      <c r="G34" s="54"/>
      <c r="H34" s="54"/>
      <c r="I34" s="150" t="s">
        <v>1289</v>
      </c>
      <c r="J34" s="92"/>
      <c r="K34" s="92"/>
      <c r="L34" s="92"/>
      <c r="M34" s="92"/>
      <c r="N34" s="92"/>
      <c r="O34" s="92"/>
      <c r="P34" s="92"/>
      <c r="Q34" s="92"/>
      <c r="R34" s="92"/>
      <c r="S34" s="92"/>
    </row>
    <row r="35" spans="1:19" ht="12.75">
      <c r="A35" s="54"/>
      <c r="B35" s="66" t="s">
        <v>1620</v>
      </c>
      <c r="C35" s="54">
        <v>18</v>
      </c>
      <c r="D35" s="55">
        <f t="shared" si="1"/>
        <v>0.6349313178920153</v>
      </c>
      <c r="E35" s="54"/>
      <c r="F35" s="54" t="s">
        <v>26</v>
      </c>
      <c r="G35" s="54"/>
      <c r="H35" s="54"/>
      <c r="I35" s="150" t="s">
        <v>27</v>
      </c>
      <c r="J35" s="92"/>
      <c r="K35" s="92"/>
      <c r="L35" s="92"/>
      <c r="M35" s="92"/>
      <c r="N35" s="92"/>
      <c r="O35" s="92"/>
      <c r="P35" s="92"/>
      <c r="Q35" s="92"/>
      <c r="R35" s="92"/>
      <c r="S35" s="92"/>
    </row>
    <row r="36" spans="1:19" ht="12.75">
      <c r="A36" s="54"/>
      <c r="B36" s="66" t="s">
        <v>1620</v>
      </c>
      <c r="C36" s="57">
        <f>46/4</f>
        <v>11.5</v>
      </c>
      <c r="D36" s="55">
        <f t="shared" si="1"/>
        <v>0.40565056420878753</v>
      </c>
      <c r="E36" s="55"/>
      <c r="F36" s="147" t="s">
        <v>1776</v>
      </c>
      <c r="G36" s="87"/>
      <c r="H36" s="54"/>
      <c r="I36" s="138" t="s">
        <v>1478</v>
      </c>
      <c r="J36" s="92"/>
      <c r="K36" s="94"/>
      <c r="L36" s="92"/>
      <c r="M36" s="92"/>
      <c r="N36" s="92"/>
      <c r="O36" s="92"/>
      <c r="P36" s="92"/>
      <c r="Q36" s="92"/>
      <c r="R36" s="92"/>
      <c r="S36" s="92"/>
    </row>
    <row r="37" spans="1:19" ht="13.5" thickBot="1">
      <c r="A37" s="54"/>
      <c r="B37" s="73" t="s">
        <v>1620</v>
      </c>
      <c r="C37" s="57">
        <v>57</v>
      </c>
      <c r="D37" s="55">
        <f t="shared" si="1"/>
        <v>2.010615839991382</v>
      </c>
      <c r="E37" s="55"/>
      <c r="F37" s="58" t="s">
        <v>1315</v>
      </c>
      <c r="G37" s="54"/>
      <c r="H37" s="54"/>
      <c r="I37" s="126" t="s">
        <v>2093</v>
      </c>
      <c r="J37" s="92"/>
      <c r="K37" s="92"/>
      <c r="L37" s="92"/>
      <c r="M37" s="92"/>
      <c r="N37" s="92"/>
      <c r="O37" s="92"/>
      <c r="P37" s="92"/>
      <c r="Q37" s="92"/>
      <c r="R37" s="92"/>
      <c r="S37" s="92"/>
    </row>
    <row r="38" spans="1:19" ht="13.5" thickBot="1">
      <c r="A38" s="132"/>
      <c r="B38" s="159"/>
      <c r="C38" s="66"/>
      <c r="D38" s="55">
        <f t="shared" si="1"/>
        <v>0</v>
      </c>
      <c r="E38" s="55">
        <f aca="true" t="shared" si="2" ref="E38:E46">D38/16</f>
        <v>0</v>
      </c>
      <c r="F38" s="54" t="s">
        <v>1186</v>
      </c>
      <c r="G38" s="54"/>
      <c r="H38" s="54"/>
      <c r="I38" s="152" t="s">
        <v>1187</v>
      </c>
      <c r="J38" s="92"/>
      <c r="K38" s="92"/>
      <c r="L38" s="92"/>
      <c r="M38" s="92"/>
      <c r="N38" s="55">
        <f>M38/28.349523</f>
        <v>0</v>
      </c>
      <c r="O38" s="92" t="s">
        <v>2016</v>
      </c>
      <c r="P38" s="190" t="s">
        <v>1138</v>
      </c>
      <c r="Q38" s="174"/>
      <c r="R38" s="174"/>
      <c r="S38" s="191"/>
    </row>
    <row r="39" spans="1:19" ht="13.5" thickBot="1">
      <c r="A39" s="132"/>
      <c r="B39" s="159"/>
      <c r="C39" s="66"/>
      <c r="D39" s="55">
        <f t="shared" si="1"/>
        <v>0</v>
      </c>
      <c r="E39" s="55">
        <f t="shared" si="2"/>
        <v>0</v>
      </c>
      <c r="F39" s="54" t="s">
        <v>1278</v>
      </c>
      <c r="G39" s="54"/>
      <c r="H39" s="54"/>
      <c r="I39" s="152" t="s">
        <v>1279</v>
      </c>
      <c r="J39" s="92"/>
      <c r="K39" s="92"/>
      <c r="L39" s="92"/>
      <c r="M39" s="92"/>
      <c r="N39" s="55">
        <f>M39/28.349523</f>
        <v>0</v>
      </c>
      <c r="O39" s="92" t="s">
        <v>2016</v>
      </c>
      <c r="P39" s="192"/>
      <c r="Q39" s="92" t="s">
        <v>1137</v>
      </c>
      <c r="R39" s="92"/>
      <c r="S39" s="193"/>
    </row>
    <row r="40" spans="1:19" ht="12.75">
      <c r="A40" s="54"/>
      <c r="B40" s="66" t="s">
        <v>1621</v>
      </c>
      <c r="C40" s="57">
        <f>J40+L40</f>
        <v>1607</v>
      </c>
      <c r="D40" s="55">
        <f>C40/28.349523</f>
        <v>56.685257102914925</v>
      </c>
      <c r="E40" s="55">
        <f>D40/16</f>
        <v>3.542828568932183</v>
      </c>
      <c r="F40" s="96" t="s">
        <v>653</v>
      </c>
      <c r="G40" s="54"/>
      <c r="H40" s="54"/>
      <c r="I40" s="92" t="s">
        <v>1463</v>
      </c>
      <c r="J40" s="9">
        <v>702</v>
      </c>
      <c r="K40" s="92" t="s">
        <v>651</v>
      </c>
      <c r="L40" s="57">
        <v>905</v>
      </c>
      <c r="M40" s="92" t="s">
        <v>652</v>
      </c>
      <c r="N40" s="92"/>
      <c r="O40" s="92"/>
      <c r="P40" s="196">
        <f>C40+C11+C12</f>
        <v>2273</v>
      </c>
      <c r="Q40" s="55">
        <f>P40/28.349523</f>
        <v>80.17771586491949</v>
      </c>
      <c r="R40" s="55">
        <f>Q40/16</f>
        <v>5.011107241557468</v>
      </c>
      <c r="S40" s="193"/>
    </row>
    <row r="41" spans="1:19" ht="12.75">
      <c r="A41" s="54"/>
      <c r="B41" s="66" t="s">
        <v>1621</v>
      </c>
      <c r="C41" s="57">
        <v>814</v>
      </c>
      <c r="D41" s="55">
        <f>C41/28.349523</f>
        <v>28.713005153561138</v>
      </c>
      <c r="E41" s="198">
        <f>D41/16</f>
        <v>1.7945628220975711</v>
      </c>
      <c r="F41" s="54" t="s">
        <v>647</v>
      </c>
      <c r="G41" s="54"/>
      <c r="H41" s="54"/>
      <c r="I41" s="92" t="s">
        <v>656</v>
      </c>
      <c r="J41" s="92"/>
      <c r="K41" s="92"/>
      <c r="L41" s="92"/>
      <c r="M41" s="92"/>
      <c r="N41" s="92"/>
      <c r="O41" s="92"/>
      <c r="P41" s="92"/>
      <c r="Q41" s="92"/>
      <c r="R41" s="92"/>
      <c r="S41" s="92"/>
    </row>
    <row r="42" spans="1:18" ht="12.75">
      <c r="A42" s="54"/>
      <c r="B42" t="s">
        <v>1621</v>
      </c>
      <c r="C42" s="16">
        <v>880</v>
      </c>
      <c r="D42" s="9">
        <f>C42/28.349523</f>
        <v>31.041086652498525</v>
      </c>
      <c r="E42" s="2">
        <f>D42/16</f>
        <v>1.9400679157811578</v>
      </c>
      <c r="F42" s="27" t="s">
        <v>1277</v>
      </c>
      <c r="G42" s="3"/>
      <c r="I42" s="27" t="s">
        <v>1263</v>
      </c>
      <c r="J42" s="9"/>
      <c r="R42" s="3"/>
    </row>
    <row r="43" spans="1:19" ht="12.75">
      <c r="A43" s="54"/>
      <c r="B43" s="66" t="s">
        <v>1621</v>
      </c>
      <c r="C43" s="57">
        <v>97</v>
      </c>
      <c r="D43" s="55">
        <f t="shared" si="1"/>
        <v>3.42157432419586</v>
      </c>
      <c r="E43" s="55">
        <f t="shared" si="2"/>
        <v>0.21384839526224125</v>
      </c>
      <c r="F43" s="54" t="s">
        <v>1445</v>
      </c>
      <c r="G43" s="54"/>
      <c r="H43" s="54"/>
      <c r="I43" s="92" t="s">
        <v>1188</v>
      </c>
      <c r="J43" s="92"/>
      <c r="K43" s="92"/>
      <c r="L43" s="92"/>
      <c r="M43" s="92"/>
      <c r="N43" s="92"/>
      <c r="O43" s="92"/>
      <c r="P43" s="92"/>
      <c r="Q43" s="92"/>
      <c r="R43" s="92"/>
      <c r="S43" s="92"/>
    </row>
    <row r="44" spans="1:19" ht="12.75">
      <c r="A44" s="54"/>
      <c r="B44" s="66" t="s">
        <v>1621</v>
      </c>
      <c r="C44" s="57">
        <v>832</v>
      </c>
      <c r="D44" s="55">
        <f t="shared" si="1"/>
        <v>29.347936471453153</v>
      </c>
      <c r="E44" s="55">
        <f t="shared" si="2"/>
        <v>1.834246029465822</v>
      </c>
      <c r="F44" s="62" t="s">
        <v>1830</v>
      </c>
      <c r="G44" s="54"/>
      <c r="H44" s="54"/>
      <c r="I44" s="93" t="s">
        <v>1203</v>
      </c>
      <c r="J44" s="92"/>
      <c r="K44" s="94"/>
      <c r="L44" s="93"/>
      <c r="M44" s="175"/>
      <c r="N44" s="93"/>
      <c r="O44" s="175"/>
      <c r="P44" s="92"/>
      <c r="Q44" s="92"/>
      <c r="R44" s="92"/>
      <c r="S44" s="92"/>
    </row>
    <row r="45" spans="1:19" ht="12.75">
      <c r="A45" s="54"/>
      <c r="B45" s="66" t="s">
        <v>1621</v>
      </c>
      <c r="C45" s="61">
        <v>158</v>
      </c>
      <c r="D45" s="55">
        <f t="shared" si="1"/>
        <v>5.5732860126076895</v>
      </c>
      <c r="E45" s="55">
        <f t="shared" si="2"/>
        <v>0.3483303757879806</v>
      </c>
      <c r="F45" s="62" t="s">
        <v>1625</v>
      </c>
      <c r="G45" s="54"/>
      <c r="H45" s="54"/>
      <c r="I45" s="139" t="s">
        <v>1527</v>
      </c>
      <c r="J45" s="92"/>
      <c r="K45" s="94"/>
      <c r="L45" s="93"/>
      <c r="M45" s="175"/>
      <c r="N45" s="93"/>
      <c r="O45" s="175"/>
      <c r="P45" s="92"/>
      <c r="Q45" s="92"/>
      <c r="R45" s="92"/>
      <c r="S45" s="92"/>
    </row>
    <row r="46" spans="1:19" ht="12.75">
      <c r="A46" s="54"/>
      <c r="B46" s="66" t="s">
        <v>1621</v>
      </c>
      <c r="C46" s="61">
        <v>362</v>
      </c>
      <c r="D46" s="55">
        <f t="shared" si="1"/>
        <v>12.76917428205053</v>
      </c>
      <c r="E46" s="55">
        <f t="shared" si="2"/>
        <v>0.7980733926281581</v>
      </c>
      <c r="F46" s="148" t="s">
        <v>1831</v>
      </c>
      <c r="G46" s="54"/>
      <c r="H46" s="54"/>
      <c r="I46" s="139" t="s">
        <v>997</v>
      </c>
      <c r="J46" s="92"/>
      <c r="K46" s="92"/>
      <c r="L46" s="92"/>
      <c r="M46" s="92"/>
      <c r="N46" s="92"/>
      <c r="O46" s="92"/>
      <c r="P46" s="92"/>
      <c r="Q46" s="92"/>
      <c r="R46" s="92"/>
      <c r="S46" s="92"/>
    </row>
    <row r="47" spans="1:19" ht="12.75">
      <c r="A47" s="54"/>
      <c r="B47" s="66" t="s">
        <v>449</v>
      </c>
      <c r="C47" s="57">
        <v>102</v>
      </c>
      <c r="D47" s="55">
        <f t="shared" si="1"/>
        <v>3.59794413472142</v>
      </c>
      <c r="E47" s="55"/>
      <c r="F47" s="54" t="s">
        <v>1682</v>
      </c>
      <c r="G47" s="87"/>
      <c r="H47" s="54"/>
      <c r="I47" s="92" t="s">
        <v>993</v>
      </c>
      <c r="J47" s="92"/>
      <c r="K47" s="92"/>
      <c r="L47" s="92"/>
      <c r="M47" s="92"/>
      <c r="N47" s="94"/>
      <c r="O47" s="92"/>
      <c r="P47" s="134"/>
      <c r="Q47" s="92"/>
      <c r="R47" s="92"/>
      <c r="S47" s="92"/>
    </row>
    <row r="48" spans="1:19" ht="13.5" thickBot="1">
      <c r="A48" s="54"/>
      <c r="B48" s="73"/>
      <c r="C48" s="57">
        <f>SUM(C3:C47)</f>
        <v>7327.5</v>
      </c>
      <c r="D48" s="57">
        <f t="shared" si="1"/>
        <v>258.4699573252079</v>
      </c>
      <c r="E48" s="55">
        <f>D48/16</f>
        <v>16.154372332825492</v>
      </c>
      <c r="F48" s="54" t="s">
        <v>435</v>
      </c>
      <c r="G48" s="87"/>
      <c r="H48" s="54"/>
      <c r="I48" s="92"/>
      <c r="J48" s="92"/>
      <c r="K48" s="92"/>
      <c r="L48" s="92"/>
      <c r="M48" s="92"/>
      <c r="N48" s="94"/>
      <c r="O48" s="92"/>
      <c r="P48" s="134"/>
      <c r="Q48" s="92"/>
      <c r="R48" s="92"/>
      <c r="S48" s="92"/>
    </row>
    <row r="49" spans="1:19" ht="13.5" thickBot="1">
      <c r="A49" s="132"/>
      <c r="B49" s="159"/>
      <c r="C49" s="103">
        <f>'Tom Food'!B31</f>
        <v>1672</v>
      </c>
      <c r="D49" s="57">
        <f t="shared" si="1"/>
        <v>58.978064639747195</v>
      </c>
      <c r="E49" s="55">
        <f>D49/16</f>
        <v>3.6861290399841997</v>
      </c>
      <c r="F49" s="180" t="s">
        <v>678</v>
      </c>
      <c r="G49" s="87"/>
      <c r="H49" s="54"/>
      <c r="I49" s="92"/>
      <c r="J49" s="92"/>
      <c r="K49" s="92"/>
      <c r="L49" s="92"/>
      <c r="M49" s="92"/>
      <c r="N49" s="94"/>
      <c r="O49" s="92"/>
      <c r="P49" s="134"/>
      <c r="Q49" s="92"/>
      <c r="R49" s="92"/>
      <c r="S49" s="92"/>
    </row>
    <row r="50" spans="1:19" ht="12.75">
      <c r="A50" s="54"/>
      <c r="B50" s="155"/>
      <c r="C50" s="57">
        <f>C48+C49</f>
        <v>8999.5</v>
      </c>
      <c r="D50" s="57">
        <f t="shared" si="1"/>
        <v>317.4480219649551</v>
      </c>
      <c r="E50" s="55">
        <f>D50/16</f>
        <v>19.840501372809694</v>
      </c>
      <c r="F50" s="180" t="s">
        <v>677</v>
      </c>
      <c r="G50" s="87"/>
      <c r="H50" s="54"/>
      <c r="I50" s="92"/>
      <c r="J50" s="92"/>
      <c r="K50" s="92"/>
      <c r="L50" s="92"/>
      <c r="M50" s="92"/>
      <c r="N50" s="94"/>
      <c r="O50" s="92"/>
      <c r="P50" s="134"/>
      <c r="Q50" s="92"/>
      <c r="R50" s="92"/>
      <c r="S50" s="92"/>
    </row>
    <row r="51" spans="1:19" ht="12.75">
      <c r="A51" s="54"/>
      <c r="B51" s="66" t="s">
        <v>2009</v>
      </c>
      <c r="C51" s="57">
        <v>135</v>
      </c>
      <c r="D51" s="55">
        <f>C51/28.349523</f>
        <v>4.761984884190115</v>
      </c>
      <c r="E51" s="55">
        <f>D51/16</f>
        <v>0.2976240552618822</v>
      </c>
      <c r="F51" s="97" t="s">
        <v>399</v>
      </c>
      <c r="G51" s="54"/>
      <c r="H51" s="54"/>
      <c r="I51" s="95" t="s">
        <v>7</v>
      </c>
      <c r="J51" s="92"/>
      <c r="K51" s="92"/>
      <c r="L51" s="92"/>
      <c r="M51" s="92"/>
      <c r="N51" s="92"/>
      <c r="O51" s="92"/>
      <c r="P51" s="92"/>
      <c r="Q51" s="92"/>
      <c r="R51" s="92"/>
      <c r="S51" s="92"/>
    </row>
    <row r="52" spans="1:19" ht="12.75">
      <c r="A52" s="54"/>
      <c r="B52" s="202" t="s">
        <v>2009</v>
      </c>
      <c r="C52" s="185">
        <v>16</v>
      </c>
      <c r="D52" s="179"/>
      <c r="E52" s="179"/>
      <c r="F52" s="172" t="s">
        <v>1328</v>
      </c>
      <c r="G52" s="186"/>
      <c r="H52" s="172"/>
      <c r="I52" s="92" t="s">
        <v>1113</v>
      </c>
      <c r="J52" s="92"/>
      <c r="K52" s="92"/>
      <c r="L52" s="92"/>
      <c r="M52" s="92"/>
      <c r="N52" s="94"/>
      <c r="O52" s="92"/>
      <c r="P52" s="134"/>
      <c r="Q52" s="92"/>
      <c r="R52" s="92"/>
      <c r="S52" s="92"/>
    </row>
    <row r="53" spans="1:20" ht="12.75">
      <c r="A53" s="54"/>
      <c r="B53" t="s">
        <v>2009</v>
      </c>
      <c r="C53" s="185">
        <v>14</v>
      </c>
      <c r="D53" s="179"/>
      <c r="E53" s="186"/>
      <c r="F53" s="188" t="s">
        <v>1112</v>
      </c>
      <c r="G53" s="172"/>
      <c r="H53" s="172"/>
      <c r="I53" s="149" t="s">
        <v>1114</v>
      </c>
      <c r="J53" s="92"/>
      <c r="K53" s="92"/>
      <c r="L53" s="92"/>
      <c r="M53" s="92"/>
      <c r="N53" s="92"/>
      <c r="O53" s="92"/>
      <c r="P53" s="92"/>
      <c r="Q53" s="92"/>
      <c r="R53" s="92"/>
      <c r="S53" s="92"/>
      <c r="T53" s="92"/>
    </row>
    <row r="54" spans="1:19" ht="12.75">
      <c r="A54" s="54"/>
      <c r="B54" s="66" t="s">
        <v>2009</v>
      </c>
      <c r="C54" s="54">
        <v>29</v>
      </c>
      <c r="D54" s="55">
        <f aca="true" t="shared" si="3" ref="D54:D70">C54/28.349523</f>
        <v>1.0229449010482468</v>
      </c>
      <c r="E54" s="54"/>
      <c r="F54" s="54" t="s">
        <v>657</v>
      </c>
      <c r="G54" s="54"/>
      <c r="H54" s="54"/>
      <c r="I54" s="66" t="s">
        <v>1619</v>
      </c>
      <c r="J54" s="92"/>
      <c r="K54" s="92"/>
      <c r="L54" s="92"/>
      <c r="M54" s="92"/>
      <c r="N54" s="92"/>
      <c r="O54" s="92"/>
      <c r="P54" s="92"/>
      <c r="Q54" s="92"/>
      <c r="R54" s="92"/>
      <c r="S54" s="92"/>
    </row>
    <row r="55" spans="1:20" ht="12.75">
      <c r="A55" s="54"/>
      <c r="B55" s="200" t="s">
        <v>2009</v>
      </c>
      <c r="C55" s="57">
        <v>253</v>
      </c>
      <c r="D55" s="55">
        <f t="shared" si="3"/>
        <v>8.924312412593325</v>
      </c>
      <c r="E55" s="55">
        <f>D55/16</f>
        <v>0.5577695257870828</v>
      </c>
      <c r="F55" s="118" t="s">
        <v>34</v>
      </c>
      <c r="G55" s="54"/>
      <c r="H55" s="54"/>
      <c r="I55" s="149" t="s">
        <v>35</v>
      </c>
      <c r="J55" s="92"/>
      <c r="K55" s="92"/>
      <c r="L55" s="92"/>
      <c r="M55" s="92"/>
      <c r="N55" s="92"/>
      <c r="O55" s="92"/>
      <c r="P55" s="92"/>
      <c r="Q55" s="92"/>
      <c r="R55" s="92"/>
      <c r="S55" s="92"/>
      <c r="T55" s="92"/>
    </row>
    <row r="56" spans="1:19" ht="12.75">
      <c r="A56" s="54"/>
      <c r="B56" s="66" t="s">
        <v>2009</v>
      </c>
      <c r="C56" s="54">
        <v>34</v>
      </c>
      <c r="D56" s="55">
        <f t="shared" si="3"/>
        <v>1.1993147115738068</v>
      </c>
      <c r="E56" s="54"/>
      <c r="F56" s="54" t="s">
        <v>2083</v>
      </c>
      <c r="G56" s="54"/>
      <c r="H56" s="54"/>
      <c r="I56" s="92" t="s">
        <v>2084</v>
      </c>
      <c r="J56" s="92"/>
      <c r="K56" s="92"/>
      <c r="L56" s="92"/>
      <c r="M56" s="92"/>
      <c r="N56" s="92"/>
      <c r="O56" s="92"/>
      <c r="P56" s="92"/>
      <c r="Q56" s="92"/>
      <c r="R56" s="92"/>
      <c r="S56" s="92"/>
    </row>
    <row r="57" spans="1:19" ht="12.75">
      <c r="A57" s="54"/>
      <c r="B57" s="66" t="s">
        <v>2009</v>
      </c>
      <c r="C57" s="54">
        <v>44</v>
      </c>
      <c r="D57" s="55">
        <f t="shared" si="3"/>
        <v>1.5520543326249263</v>
      </c>
      <c r="E57" s="54"/>
      <c r="F57" s="54" t="s">
        <v>1767</v>
      </c>
      <c r="G57" s="54"/>
      <c r="H57" s="54"/>
      <c r="I57" s="92" t="s">
        <v>1768</v>
      </c>
      <c r="J57" s="92"/>
      <c r="K57" s="92"/>
      <c r="L57" s="92"/>
      <c r="M57" s="92"/>
      <c r="N57" s="92"/>
      <c r="O57" s="92"/>
      <c r="P57" s="92"/>
      <c r="Q57" s="92"/>
      <c r="R57" s="92"/>
      <c r="S57" s="92"/>
    </row>
    <row r="58" spans="1:19" ht="12.75">
      <c r="A58" s="54"/>
      <c r="B58" s="66" t="s">
        <v>2009</v>
      </c>
      <c r="C58" s="57">
        <v>324</v>
      </c>
      <c r="D58" s="55">
        <f t="shared" si="3"/>
        <v>11.428763722056276</v>
      </c>
      <c r="E58" s="55">
        <f>D58/16</f>
        <v>0.7142977326285173</v>
      </c>
      <c r="F58" s="54" t="s">
        <v>2014</v>
      </c>
      <c r="G58" s="87"/>
      <c r="H58" s="54"/>
      <c r="I58" s="92" t="s">
        <v>2015</v>
      </c>
      <c r="J58" s="92"/>
      <c r="K58" s="92"/>
      <c r="L58" s="92"/>
      <c r="M58" s="92"/>
      <c r="N58" s="92"/>
      <c r="O58" s="92"/>
      <c r="P58" s="92"/>
      <c r="Q58" s="92"/>
      <c r="R58" s="92"/>
      <c r="S58" s="92"/>
    </row>
    <row r="59" spans="1:19" ht="12.75">
      <c r="A59" s="54"/>
      <c r="B59" s="66" t="s">
        <v>2009</v>
      </c>
      <c r="C59" s="54">
        <v>107</v>
      </c>
      <c r="D59" s="55">
        <f t="shared" si="3"/>
        <v>3.7743139452469796</v>
      </c>
      <c r="E59" s="55"/>
      <c r="F59" s="54" t="s">
        <v>658</v>
      </c>
      <c r="G59" s="54"/>
      <c r="H59" s="54"/>
      <c r="I59" s="66" t="s">
        <v>785</v>
      </c>
      <c r="J59" s="92"/>
      <c r="K59" s="92"/>
      <c r="L59" s="92"/>
      <c r="M59" s="92"/>
      <c r="N59" s="92"/>
      <c r="O59" s="92"/>
      <c r="P59" s="92"/>
      <c r="Q59" s="92"/>
      <c r="R59" s="92"/>
      <c r="S59" s="92"/>
    </row>
    <row r="60" spans="1:19" ht="12.75">
      <c r="A60" s="54"/>
      <c r="B60" s="66" t="s">
        <v>2009</v>
      </c>
      <c r="C60" s="54">
        <v>50</v>
      </c>
      <c r="D60" s="55">
        <f t="shared" si="3"/>
        <v>1.763698105255598</v>
      </c>
      <c r="E60" s="54"/>
      <c r="F60" s="54" t="s">
        <v>137</v>
      </c>
      <c r="G60" s="54"/>
      <c r="H60" s="54"/>
      <c r="I60" s="66" t="s">
        <v>786</v>
      </c>
      <c r="J60" s="92"/>
      <c r="K60" s="92"/>
      <c r="L60" s="92"/>
      <c r="M60" s="92"/>
      <c r="N60" s="92"/>
      <c r="O60" s="92"/>
      <c r="P60" s="92"/>
      <c r="Q60" s="92"/>
      <c r="R60" s="92"/>
      <c r="S60" s="92"/>
    </row>
    <row r="61" spans="1:19" ht="12.75">
      <c r="A61" s="54"/>
      <c r="B61" s="66" t="s">
        <v>2009</v>
      </c>
      <c r="C61" s="54">
        <f>177+85</f>
        <v>262</v>
      </c>
      <c r="D61" s="55">
        <f t="shared" si="3"/>
        <v>9.241778071539335</v>
      </c>
      <c r="E61" s="55">
        <f>D61/16</f>
        <v>0.5776111294712084</v>
      </c>
      <c r="F61" s="54" t="s">
        <v>1281</v>
      </c>
      <c r="G61" s="54"/>
      <c r="H61" s="54"/>
      <c r="I61" s="92" t="s">
        <v>1282</v>
      </c>
      <c r="J61" s="92"/>
      <c r="K61" s="92"/>
      <c r="L61" s="92"/>
      <c r="M61" s="92"/>
      <c r="N61" s="92"/>
      <c r="O61" s="92"/>
      <c r="P61" s="92"/>
      <c r="Q61" s="92"/>
      <c r="R61" s="92"/>
      <c r="S61" s="92"/>
    </row>
    <row r="62" spans="1:19" ht="12.75">
      <c r="A62" s="54"/>
      <c r="B62" s="66" t="s">
        <v>2009</v>
      </c>
      <c r="C62" s="54">
        <v>35</v>
      </c>
      <c r="D62" s="55">
        <f t="shared" si="3"/>
        <v>1.2345886736789187</v>
      </c>
      <c r="E62" s="55"/>
      <c r="F62" s="147" t="s">
        <v>322</v>
      </c>
      <c r="G62" s="54"/>
      <c r="H62" s="54"/>
      <c r="I62" s="150" t="s">
        <v>2018</v>
      </c>
      <c r="J62" s="92"/>
      <c r="K62" s="92"/>
      <c r="L62" s="92"/>
      <c r="M62" s="92"/>
      <c r="N62" s="92"/>
      <c r="O62" s="92"/>
      <c r="P62" s="92"/>
      <c r="Q62" s="92"/>
      <c r="R62" s="92"/>
      <c r="S62" s="92"/>
    </row>
    <row r="63" spans="1:19" ht="12.75">
      <c r="A63" s="54"/>
      <c r="B63" s="200" t="s">
        <v>2009</v>
      </c>
      <c r="C63" s="57">
        <v>40</v>
      </c>
      <c r="D63" s="55">
        <f t="shared" si="3"/>
        <v>1.4109584842044784</v>
      </c>
      <c r="E63" s="55"/>
      <c r="F63" s="56" t="s">
        <v>1172</v>
      </c>
      <c r="G63" s="54"/>
      <c r="H63" s="54"/>
      <c r="I63" s="150" t="s">
        <v>22</v>
      </c>
      <c r="J63" s="92"/>
      <c r="K63" s="92"/>
      <c r="L63" s="92"/>
      <c r="M63" s="92"/>
      <c r="N63" s="92"/>
      <c r="O63" s="92"/>
      <c r="P63" s="92"/>
      <c r="Q63" s="92"/>
      <c r="R63" s="92"/>
      <c r="S63" s="92"/>
    </row>
    <row r="64" spans="1:19" ht="12.75">
      <c r="A64" s="54"/>
      <c r="B64" s="200" t="s">
        <v>2009</v>
      </c>
      <c r="C64" s="147">
        <v>23</v>
      </c>
      <c r="D64" s="55">
        <f t="shared" si="3"/>
        <v>0.8113011284175751</v>
      </c>
      <c r="E64" s="160"/>
      <c r="F64" s="97" t="s">
        <v>321</v>
      </c>
      <c r="G64" s="54"/>
      <c r="H64" s="54"/>
      <c r="I64" s="92" t="s">
        <v>21</v>
      </c>
      <c r="J64" s="92"/>
      <c r="K64" s="92"/>
      <c r="L64" s="92"/>
      <c r="M64" s="92"/>
      <c r="N64" s="92"/>
      <c r="O64" s="92"/>
      <c r="P64" s="92"/>
      <c r="Q64" s="92"/>
      <c r="R64" s="92"/>
      <c r="S64" s="92"/>
    </row>
    <row r="65" spans="1:19" ht="12.75">
      <c r="A65" s="54"/>
      <c r="B65" s="200" t="s">
        <v>2009</v>
      </c>
      <c r="C65" s="57">
        <v>60</v>
      </c>
      <c r="D65" s="55">
        <f t="shared" si="3"/>
        <v>2.116437726306718</v>
      </c>
      <c r="E65" s="55"/>
      <c r="F65" s="56" t="s">
        <v>24</v>
      </c>
      <c r="G65" s="54"/>
      <c r="H65" s="54"/>
      <c r="I65" s="92"/>
      <c r="J65" s="92"/>
      <c r="K65" s="92"/>
      <c r="L65" s="92"/>
      <c r="M65" s="92"/>
      <c r="N65" s="92"/>
      <c r="O65" s="92"/>
      <c r="P65" s="92"/>
      <c r="Q65" s="92"/>
      <c r="R65" s="92"/>
      <c r="S65" s="92"/>
    </row>
    <row r="66" spans="1:19" ht="12.75">
      <c r="A66" s="54"/>
      <c r="B66" s="201" t="s">
        <v>2009</v>
      </c>
      <c r="C66" s="57"/>
      <c r="D66" s="55"/>
      <c r="F66" s="56" t="s">
        <v>599</v>
      </c>
      <c r="G66" s="54"/>
      <c r="H66" s="54"/>
      <c r="I66" s="92"/>
      <c r="J66" s="92"/>
      <c r="K66" s="92"/>
      <c r="L66" s="92"/>
      <c r="M66" s="92"/>
      <c r="N66" s="92"/>
      <c r="O66" s="92"/>
      <c r="P66" s="92"/>
      <c r="Q66" s="92"/>
      <c r="R66" s="92"/>
      <c r="S66" s="92"/>
    </row>
    <row r="67" spans="1:19" ht="13.5" thickBot="1">
      <c r="A67" s="54"/>
      <c r="B67" s="201" t="s">
        <v>2009</v>
      </c>
      <c r="C67" s="57">
        <v>1455</v>
      </c>
      <c r="D67" s="55">
        <f t="shared" si="3"/>
        <v>51.3236148629379</v>
      </c>
      <c r="E67" s="55">
        <f>D67/16</f>
        <v>3.207725928933619</v>
      </c>
      <c r="F67" s="56" t="s">
        <v>25</v>
      </c>
      <c r="G67" s="54"/>
      <c r="H67" s="54"/>
      <c r="I67" s="92"/>
      <c r="J67" s="92"/>
      <c r="K67" s="92"/>
      <c r="L67" s="92"/>
      <c r="M67" s="92"/>
      <c r="N67" s="92"/>
      <c r="O67" s="92"/>
      <c r="P67" s="92"/>
      <c r="Q67" s="92"/>
      <c r="R67" s="92"/>
      <c r="S67" s="92"/>
    </row>
    <row r="68" spans="1:19" ht="13.5" thickBot="1">
      <c r="A68" s="132"/>
      <c r="B68" s="159"/>
      <c r="C68" s="103">
        <v>57</v>
      </c>
      <c r="D68" s="55">
        <f t="shared" si="3"/>
        <v>2.010615839991382</v>
      </c>
      <c r="E68" s="55"/>
      <c r="F68" s="54" t="s">
        <v>1194</v>
      </c>
      <c r="G68" s="87"/>
      <c r="H68" s="54"/>
      <c r="I68" s="92" t="s">
        <v>439</v>
      </c>
      <c r="J68" s="92"/>
      <c r="K68" s="92"/>
      <c r="L68" s="92"/>
      <c r="M68" s="92"/>
      <c r="N68" s="92"/>
      <c r="O68" s="92"/>
      <c r="P68" s="92"/>
      <c r="Q68" s="92"/>
      <c r="R68" s="92"/>
      <c r="S68" s="92"/>
    </row>
    <row r="69" spans="1:19" ht="12.75">
      <c r="A69" s="54"/>
      <c r="B69" s="202"/>
      <c r="C69" s="57">
        <f>SUM(C54:C68)</f>
        <v>2773</v>
      </c>
      <c r="D69" s="55">
        <f t="shared" si="3"/>
        <v>97.81469691747547</v>
      </c>
      <c r="E69" s="55">
        <f>D69/16</f>
        <v>6.113418557342217</v>
      </c>
      <c r="F69" s="56" t="s">
        <v>1509</v>
      </c>
      <c r="G69" s="54"/>
      <c r="H69" s="54"/>
      <c r="I69" s="92"/>
      <c r="J69" s="92"/>
      <c r="K69" s="92"/>
      <c r="L69" s="92"/>
      <c r="M69" s="92"/>
      <c r="N69" s="92"/>
      <c r="O69" s="92"/>
      <c r="P69" s="92"/>
      <c r="Q69" s="92"/>
      <c r="R69" s="92"/>
      <c r="S69" s="92"/>
    </row>
    <row r="70" spans="1:19" ht="13.5" thickBot="1">
      <c r="A70" s="54"/>
      <c r="B70" s="200"/>
      <c r="C70" s="57">
        <f>C50+C69</f>
        <v>11772.5</v>
      </c>
      <c r="D70" s="181">
        <f t="shared" si="3"/>
        <v>415.26271888243053</v>
      </c>
      <c r="E70" s="55">
        <f>D70/16</f>
        <v>25.95391993015191</v>
      </c>
      <c r="F70" s="58" t="s">
        <v>2086</v>
      </c>
      <c r="G70" s="54"/>
      <c r="H70" s="54"/>
      <c r="I70" s="92"/>
      <c r="J70" s="92"/>
      <c r="K70" s="92"/>
      <c r="L70" s="92"/>
      <c r="M70" s="92"/>
      <c r="N70" s="92"/>
      <c r="O70" s="92"/>
      <c r="P70" s="92"/>
      <c r="Q70" s="92"/>
      <c r="R70" s="92"/>
      <c r="S70" s="92"/>
    </row>
    <row r="71" spans="1:19" ht="13.5" thickBot="1">
      <c r="A71" s="132"/>
      <c r="B71" s="189"/>
      <c r="C71" s="103"/>
      <c r="D71" s="55" t="s">
        <v>1185</v>
      </c>
      <c r="E71" s="55"/>
      <c r="F71" s="56"/>
      <c r="G71" s="54"/>
      <c r="H71" s="54"/>
      <c r="I71" s="92"/>
      <c r="J71" s="92"/>
      <c r="K71" s="92"/>
      <c r="L71" s="92"/>
      <c r="M71" s="92"/>
      <c r="N71" s="92"/>
      <c r="O71" s="92"/>
      <c r="P71" s="92"/>
      <c r="Q71" s="92"/>
      <c r="R71" s="92"/>
      <c r="S71" s="92"/>
    </row>
    <row r="72" spans="1:19" ht="13.5" thickBot="1">
      <c r="A72" s="132"/>
      <c r="B72" s="189"/>
      <c r="C72" s="103"/>
      <c r="D72" s="55" t="s">
        <v>1184</v>
      </c>
      <c r="E72" s="55"/>
      <c r="F72" s="56"/>
      <c r="G72" s="54"/>
      <c r="H72" s="54"/>
      <c r="I72" s="92"/>
      <c r="J72" s="92"/>
      <c r="K72" s="92"/>
      <c r="L72" s="92"/>
      <c r="M72" s="92"/>
      <c r="N72" s="92"/>
      <c r="O72" s="92"/>
      <c r="P72" s="92"/>
      <c r="Q72" s="92"/>
      <c r="R72" s="92"/>
      <c r="S72" s="92"/>
    </row>
    <row r="73" spans="1:19" ht="13.5" thickBot="1">
      <c r="A73" s="132"/>
      <c r="B73" s="189"/>
      <c r="C73" s="197"/>
      <c r="D73" s="69" t="s">
        <v>919</v>
      </c>
      <c r="E73" s="69"/>
      <c r="F73" s="187"/>
      <c r="G73" s="67"/>
      <c r="H73" s="67"/>
      <c r="I73" s="92"/>
      <c r="J73" s="92"/>
      <c r="K73" s="92"/>
      <c r="L73" s="92"/>
      <c r="M73" s="92"/>
      <c r="N73" s="92"/>
      <c r="O73" s="92"/>
      <c r="P73" s="92"/>
      <c r="Q73" s="92"/>
      <c r="R73" s="92"/>
      <c r="S73" s="92"/>
    </row>
    <row r="74" spans="1:19" ht="12.75">
      <c r="A74" s="54"/>
      <c r="B74" s="203" t="s">
        <v>265</v>
      </c>
      <c r="C74" s="54"/>
      <c r="D74" s="55" t="s">
        <v>1622</v>
      </c>
      <c r="E74" s="54"/>
      <c r="F74" s="54"/>
      <c r="G74" s="54"/>
      <c r="H74" s="54"/>
      <c r="I74" s="92"/>
      <c r="J74" s="92"/>
      <c r="K74" s="92"/>
      <c r="L74" s="92"/>
      <c r="M74" s="92"/>
      <c r="N74" s="92"/>
      <c r="O74" s="92"/>
      <c r="P74" s="92"/>
      <c r="Q74" s="92"/>
      <c r="R74" s="92"/>
      <c r="S74" s="92"/>
    </row>
    <row r="75" spans="1:19" ht="12.75">
      <c r="A75" s="54"/>
      <c r="B75" s="114" t="s">
        <v>265</v>
      </c>
      <c r="C75" s="54"/>
      <c r="D75" s="55" t="s">
        <v>1623</v>
      </c>
      <c r="E75" s="54"/>
      <c r="F75" s="54"/>
      <c r="G75" s="54"/>
      <c r="H75" s="54"/>
      <c r="I75" s="92"/>
      <c r="J75" s="92"/>
      <c r="K75" s="92"/>
      <c r="L75" s="92"/>
      <c r="M75" s="92"/>
      <c r="N75" s="92"/>
      <c r="O75" s="92"/>
      <c r="P75" s="92"/>
      <c r="Q75" s="92"/>
      <c r="R75" s="92"/>
      <c r="S75" s="92"/>
    </row>
    <row r="76" spans="1:19" ht="12.75">
      <c r="A76" s="54"/>
      <c r="B76" s="114" t="s">
        <v>265</v>
      </c>
      <c r="C76" s="54"/>
      <c r="D76" s="55" t="s">
        <v>1624</v>
      </c>
      <c r="E76" s="54"/>
      <c r="F76" s="54"/>
      <c r="G76" s="54"/>
      <c r="H76" s="54"/>
      <c r="I76" s="92"/>
      <c r="J76" s="92"/>
      <c r="K76" s="92"/>
      <c r="L76" s="92"/>
      <c r="M76" s="92"/>
      <c r="N76" s="92"/>
      <c r="O76" s="92"/>
      <c r="P76" s="92"/>
      <c r="Q76" s="92"/>
      <c r="R76" s="92"/>
      <c r="S76" s="92"/>
    </row>
    <row r="77" spans="1:19" ht="12.75">
      <c r="A77" s="54"/>
      <c r="B77" s="204" t="s">
        <v>265</v>
      </c>
      <c r="C77" s="54"/>
      <c r="D77" s="160" t="s">
        <v>1802</v>
      </c>
      <c r="E77" s="54"/>
      <c r="F77" s="54"/>
      <c r="G77" s="54"/>
      <c r="H77" s="54"/>
      <c r="I77" s="92"/>
      <c r="J77" s="92"/>
      <c r="K77" s="92"/>
      <c r="L77" s="92"/>
      <c r="M77" s="92"/>
      <c r="N77" s="92"/>
      <c r="O77" s="92"/>
      <c r="P77" s="92"/>
      <c r="Q77" s="92"/>
      <c r="R77" s="92"/>
      <c r="S77" s="92"/>
    </row>
    <row r="78" spans="1:19" ht="12.75">
      <c r="A78" s="54"/>
      <c r="B78" s="204" t="s">
        <v>265</v>
      </c>
      <c r="C78" s="54"/>
      <c r="D78" s="160" t="s">
        <v>1121</v>
      </c>
      <c r="E78" s="54"/>
      <c r="F78" s="54"/>
      <c r="G78" s="54"/>
      <c r="H78" s="54"/>
      <c r="I78" s="92"/>
      <c r="J78" s="92"/>
      <c r="K78" s="92"/>
      <c r="L78" s="92"/>
      <c r="M78" s="92"/>
      <c r="N78" s="92"/>
      <c r="O78" s="92"/>
      <c r="P78" s="92"/>
      <c r="Q78" s="92"/>
      <c r="R78" s="92"/>
      <c r="S78" s="92"/>
    </row>
    <row r="79" spans="1:19" ht="12.75">
      <c r="A79" s="54"/>
      <c r="B79" s="204" t="s">
        <v>265</v>
      </c>
      <c r="C79" s="54"/>
      <c r="D79" s="160" t="s">
        <v>1120</v>
      </c>
      <c r="E79" s="54"/>
      <c r="F79" s="54"/>
      <c r="G79" s="54"/>
      <c r="H79" s="54"/>
      <c r="I79" s="92"/>
      <c r="J79" s="92"/>
      <c r="K79" s="92"/>
      <c r="L79" s="92"/>
      <c r="M79" s="92"/>
      <c r="N79" s="92"/>
      <c r="O79" s="92"/>
      <c r="P79" s="92"/>
      <c r="Q79" s="92"/>
      <c r="R79" s="92"/>
      <c r="S79" s="92"/>
    </row>
    <row r="80" spans="1:19" ht="12.75">
      <c r="A80" s="54"/>
      <c r="B80" s="204" t="s">
        <v>265</v>
      </c>
      <c r="C80" s="54"/>
      <c r="D80" s="160" t="s">
        <v>923</v>
      </c>
      <c r="E80" s="54"/>
      <c r="F80" s="54"/>
      <c r="G80" s="54"/>
      <c r="H80" s="54"/>
      <c r="I80" s="92"/>
      <c r="J80" s="92"/>
      <c r="K80" s="92"/>
      <c r="L80" s="92"/>
      <c r="M80" s="92"/>
      <c r="N80" s="92"/>
      <c r="O80" s="92"/>
      <c r="P80" s="92"/>
      <c r="Q80" s="92"/>
      <c r="R80" s="92"/>
      <c r="S80" s="92"/>
    </row>
    <row r="81" spans="1:19" ht="12.75">
      <c r="A81" s="54"/>
      <c r="B81" s="204" t="s">
        <v>265</v>
      </c>
      <c r="C81" s="54"/>
      <c r="D81" s="160" t="s">
        <v>924</v>
      </c>
      <c r="E81" s="54"/>
      <c r="F81" s="54"/>
      <c r="G81" s="54"/>
      <c r="H81" s="54"/>
      <c r="I81" s="92"/>
      <c r="J81" s="92"/>
      <c r="K81" s="92"/>
      <c r="L81" s="92"/>
      <c r="M81" s="92"/>
      <c r="N81" s="92"/>
      <c r="O81" s="92"/>
      <c r="P81" s="92"/>
      <c r="Q81" s="92"/>
      <c r="R81" s="92"/>
      <c r="S81" s="92"/>
    </row>
    <row r="82" spans="1:19" ht="12.75">
      <c r="A82" s="54"/>
      <c r="B82" s="204" t="s">
        <v>265</v>
      </c>
      <c r="C82" s="54"/>
      <c r="D82" s="160" t="s">
        <v>925</v>
      </c>
      <c r="E82" s="54"/>
      <c r="F82" s="54"/>
      <c r="G82" s="54"/>
      <c r="H82" s="54"/>
      <c r="I82" s="92"/>
      <c r="J82" s="92"/>
      <c r="K82" s="92"/>
      <c r="L82" s="92"/>
      <c r="M82" s="92"/>
      <c r="N82" s="92"/>
      <c r="O82" s="92"/>
      <c r="P82" s="92"/>
      <c r="Q82" s="92"/>
      <c r="R82" s="92"/>
      <c r="S82" s="92"/>
    </row>
    <row r="83" spans="1:19" ht="12.75">
      <c r="A83" s="54"/>
      <c r="B83" s="204" t="s">
        <v>265</v>
      </c>
      <c r="C83" s="54"/>
      <c r="D83" s="160" t="s">
        <v>1118</v>
      </c>
      <c r="E83" s="54"/>
      <c r="F83" s="54"/>
      <c r="G83" s="54"/>
      <c r="H83" s="54"/>
      <c r="I83" s="92"/>
      <c r="J83" s="92"/>
      <c r="K83" s="92"/>
      <c r="L83" s="92"/>
      <c r="M83" s="92"/>
      <c r="N83" s="92"/>
      <c r="O83" s="92"/>
      <c r="P83" s="92"/>
      <c r="Q83" s="92"/>
      <c r="R83" s="92"/>
      <c r="S83" s="92"/>
    </row>
    <row r="84" spans="1:19" ht="12.75">
      <c r="A84" s="54"/>
      <c r="B84" s="204" t="s">
        <v>265</v>
      </c>
      <c r="C84" s="54"/>
      <c r="D84" s="160" t="s">
        <v>1117</v>
      </c>
      <c r="E84" s="54"/>
      <c r="F84" s="54"/>
      <c r="G84" s="54"/>
      <c r="H84" s="54"/>
      <c r="I84" s="92"/>
      <c r="J84" s="92"/>
      <c r="K84" s="92"/>
      <c r="L84" s="92"/>
      <c r="M84" s="92"/>
      <c r="N84" s="92"/>
      <c r="O84" s="92"/>
      <c r="P84" s="92"/>
      <c r="Q84" s="92"/>
      <c r="R84" s="92"/>
      <c r="S84" s="92"/>
    </row>
    <row r="85" spans="1:19" ht="12.75">
      <c r="A85" s="54"/>
      <c r="B85" s="204" t="s">
        <v>265</v>
      </c>
      <c r="C85" s="54"/>
      <c r="D85" s="160" t="s">
        <v>248</v>
      </c>
      <c r="E85" s="54"/>
      <c r="F85" s="54"/>
      <c r="G85" s="54"/>
      <c r="H85" s="54"/>
      <c r="I85" s="92"/>
      <c r="J85" s="92"/>
      <c r="K85" s="92"/>
      <c r="L85" s="92"/>
      <c r="M85" s="92"/>
      <c r="N85" s="92"/>
      <c r="O85" s="92"/>
      <c r="P85" s="92"/>
      <c r="Q85" s="92"/>
      <c r="R85" s="92"/>
      <c r="S85" s="92"/>
    </row>
    <row r="86" spans="1:19" ht="12.75">
      <c r="A86" s="54"/>
      <c r="B86" s="204" t="s">
        <v>265</v>
      </c>
      <c r="C86" s="54"/>
      <c r="D86" s="160" t="s">
        <v>1126</v>
      </c>
      <c r="E86" s="54"/>
      <c r="F86" s="54"/>
      <c r="G86" s="54"/>
      <c r="H86" s="54"/>
      <c r="I86" s="92"/>
      <c r="J86" s="92"/>
      <c r="K86" s="92"/>
      <c r="L86" s="92"/>
      <c r="M86" s="92"/>
      <c r="N86" s="92"/>
      <c r="O86" s="92"/>
      <c r="P86" s="92"/>
      <c r="Q86" s="92"/>
      <c r="R86" s="92"/>
      <c r="S86" s="92"/>
    </row>
    <row r="87" spans="1:19" ht="12.75">
      <c r="A87" s="54"/>
      <c r="B87" s="204" t="s">
        <v>265</v>
      </c>
      <c r="C87" s="54"/>
      <c r="D87" s="160" t="s">
        <v>928</v>
      </c>
      <c r="E87" s="54"/>
      <c r="F87" s="54"/>
      <c r="G87" s="54"/>
      <c r="H87" s="54"/>
      <c r="I87" s="92"/>
      <c r="J87" s="92"/>
      <c r="K87" s="92"/>
      <c r="L87" s="92"/>
      <c r="M87" s="92"/>
      <c r="N87" s="92"/>
      <c r="O87" s="92"/>
      <c r="P87" s="92"/>
      <c r="Q87" s="92"/>
      <c r="R87" s="92"/>
      <c r="S87" s="92"/>
    </row>
    <row r="88" spans="1:19" ht="12.75">
      <c r="A88" s="54"/>
      <c r="B88" s="204" t="s">
        <v>265</v>
      </c>
      <c r="C88" s="54"/>
      <c r="D88" s="160" t="s">
        <v>1162</v>
      </c>
      <c r="E88" s="54"/>
      <c r="F88" s="54"/>
      <c r="G88" s="54"/>
      <c r="H88" s="54"/>
      <c r="I88" s="92"/>
      <c r="J88" s="92"/>
      <c r="K88" s="92"/>
      <c r="L88" s="92"/>
      <c r="M88" s="92"/>
      <c r="N88" s="92"/>
      <c r="O88" s="92"/>
      <c r="P88" s="92"/>
      <c r="Q88" s="92"/>
      <c r="R88" s="92"/>
      <c r="S88" s="92"/>
    </row>
    <row r="89" spans="1:19" ht="12.75">
      <c r="A89" s="54"/>
      <c r="B89" s="204" t="s">
        <v>265</v>
      </c>
      <c r="C89" s="54"/>
      <c r="D89" s="160" t="s">
        <v>929</v>
      </c>
      <c r="E89" s="54"/>
      <c r="F89" s="54"/>
      <c r="G89" s="54"/>
      <c r="H89" s="54"/>
      <c r="I89" s="92"/>
      <c r="J89" s="92"/>
      <c r="K89" s="92"/>
      <c r="L89" s="92"/>
      <c r="M89" s="92"/>
      <c r="N89" s="92"/>
      <c r="O89" s="92"/>
      <c r="P89" s="92"/>
      <c r="Q89" s="92"/>
      <c r="R89" s="92"/>
      <c r="S89" s="92"/>
    </row>
    <row r="90" spans="1:19" ht="12.75">
      <c r="A90" s="54"/>
      <c r="B90" s="204" t="s">
        <v>265</v>
      </c>
      <c r="C90" s="54"/>
      <c r="D90" s="160" t="s">
        <v>1124</v>
      </c>
      <c r="E90" s="54"/>
      <c r="F90" s="54"/>
      <c r="G90" s="54"/>
      <c r="H90" s="54"/>
      <c r="I90" s="92"/>
      <c r="J90" s="92"/>
      <c r="K90" s="92"/>
      <c r="L90" s="92"/>
      <c r="M90" s="92"/>
      <c r="N90" s="92"/>
      <c r="O90" s="92"/>
      <c r="P90" s="92"/>
      <c r="Q90" s="92"/>
      <c r="R90" s="92"/>
      <c r="S90" s="92"/>
    </row>
    <row r="91" spans="1:19" ht="12.75">
      <c r="A91" s="54"/>
      <c r="B91" s="204" t="s">
        <v>265</v>
      </c>
      <c r="C91" s="57"/>
      <c r="D91" s="55" t="s">
        <v>1119</v>
      </c>
      <c r="E91" s="55"/>
      <c r="F91" s="56"/>
      <c r="G91" s="54"/>
      <c r="H91" s="54"/>
      <c r="I91" s="92"/>
      <c r="J91" s="92"/>
      <c r="K91" s="92"/>
      <c r="L91" s="92"/>
      <c r="M91" s="92"/>
      <c r="N91" s="92"/>
      <c r="O91" s="92"/>
      <c r="P91" s="92"/>
      <c r="Q91" s="92"/>
      <c r="R91" s="92"/>
      <c r="S91" s="92"/>
    </row>
    <row r="92" spans="1:19" ht="12.75">
      <c r="A92" s="54"/>
      <c r="B92" s="204" t="s">
        <v>265</v>
      </c>
      <c r="C92" s="57"/>
      <c r="D92" s="55" t="s">
        <v>1125</v>
      </c>
      <c r="E92" s="55"/>
      <c r="F92" s="56"/>
      <c r="G92" s="54"/>
      <c r="H92" s="54"/>
      <c r="I92" s="92"/>
      <c r="J92" s="92"/>
      <c r="K92" s="92"/>
      <c r="L92" s="92"/>
      <c r="M92" s="92"/>
      <c r="N92" s="92"/>
      <c r="O92" s="92"/>
      <c r="P92" s="92"/>
      <c r="Q92" s="92"/>
      <c r="R92" s="92"/>
      <c r="S92" s="92"/>
    </row>
    <row r="93" spans="1:19" ht="12.75">
      <c r="A93" s="54"/>
      <c r="B93" s="204" t="s">
        <v>265</v>
      </c>
      <c r="C93" s="57"/>
      <c r="D93" s="55" t="s">
        <v>931</v>
      </c>
      <c r="E93" s="55"/>
      <c r="F93" s="56"/>
      <c r="G93" s="54"/>
      <c r="H93" s="54"/>
      <c r="I93" s="92"/>
      <c r="J93" s="92"/>
      <c r="K93" s="92"/>
      <c r="L93" s="92"/>
      <c r="M93" s="92"/>
      <c r="N93" s="92"/>
      <c r="O93" s="92"/>
      <c r="P93" s="92"/>
      <c r="Q93" s="92"/>
      <c r="R93" s="92"/>
      <c r="S93" s="92"/>
    </row>
    <row r="94" spans="1:19" ht="12.75">
      <c r="A94" s="54"/>
      <c r="B94" s="204" t="s">
        <v>265</v>
      </c>
      <c r="C94" s="54"/>
      <c r="D94" s="55" t="s">
        <v>885</v>
      </c>
      <c r="E94" s="54"/>
      <c r="F94" s="54"/>
      <c r="G94" s="54"/>
      <c r="H94" s="54"/>
      <c r="I94" s="92"/>
      <c r="J94" s="92"/>
      <c r="K94" s="92"/>
      <c r="L94" s="92"/>
      <c r="M94" s="92"/>
      <c r="N94" s="92"/>
      <c r="O94" s="92"/>
      <c r="P94" s="92"/>
      <c r="Q94" s="92"/>
      <c r="R94" s="92"/>
      <c r="S94" s="92"/>
    </row>
    <row r="95" spans="1:19" ht="12.75">
      <c r="A95" s="54"/>
      <c r="B95" s="204" t="s">
        <v>265</v>
      </c>
      <c r="C95" s="54"/>
      <c r="D95" s="160" t="s">
        <v>597</v>
      </c>
      <c r="E95" s="54"/>
      <c r="F95" s="54"/>
      <c r="G95" s="54"/>
      <c r="H95" s="54"/>
      <c r="I95" s="92"/>
      <c r="J95" s="92"/>
      <c r="K95" s="92"/>
      <c r="L95" s="92"/>
      <c r="M95" s="92"/>
      <c r="N95" s="92"/>
      <c r="O95" s="92"/>
      <c r="P95" s="92"/>
      <c r="Q95" s="92"/>
      <c r="R95" s="92"/>
      <c r="S95" s="92"/>
    </row>
    <row r="96" spans="1:19" ht="12.75">
      <c r="A96" s="54"/>
      <c r="B96" s="205" t="s">
        <v>265</v>
      </c>
      <c r="C96" s="54"/>
      <c r="D96" s="160" t="s">
        <v>1804</v>
      </c>
      <c r="E96" s="54"/>
      <c r="F96" s="54"/>
      <c r="G96" s="54"/>
      <c r="H96" s="54"/>
      <c r="I96" s="92"/>
      <c r="J96" s="92"/>
      <c r="K96" s="92"/>
      <c r="L96" s="92"/>
      <c r="M96" s="92"/>
      <c r="N96" s="92"/>
      <c r="O96" s="92"/>
      <c r="P96" s="92"/>
      <c r="Q96" s="92"/>
      <c r="R96" s="92"/>
      <c r="S96" s="92"/>
    </row>
    <row r="97" spans="1:19" ht="12.75">
      <c r="A97" s="54"/>
      <c r="B97" s="205" t="s">
        <v>265</v>
      </c>
      <c r="C97" s="54"/>
      <c r="D97" s="160" t="s">
        <v>592</v>
      </c>
      <c r="E97" s="54"/>
      <c r="F97" s="54"/>
      <c r="G97" s="54"/>
      <c r="H97" s="54"/>
      <c r="I97" s="92"/>
      <c r="J97" s="92"/>
      <c r="K97" s="92"/>
      <c r="L97" s="92"/>
      <c r="M97" s="92"/>
      <c r="N97" s="92"/>
      <c r="O97" s="92"/>
      <c r="P97" s="92"/>
      <c r="Q97" s="92"/>
      <c r="R97" s="92"/>
      <c r="S97" s="92"/>
    </row>
    <row r="98" spans="1:19" ht="12.75">
      <c r="A98" s="54"/>
      <c r="B98" s="205" t="s">
        <v>265</v>
      </c>
      <c r="C98" s="54"/>
      <c r="D98" s="160" t="s">
        <v>593</v>
      </c>
      <c r="E98" s="54"/>
      <c r="F98" s="54"/>
      <c r="G98" s="54"/>
      <c r="H98" s="54"/>
      <c r="I98" s="92"/>
      <c r="J98" s="92"/>
      <c r="K98" s="92"/>
      <c r="L98" s="92"/>
      <c r="M98" s="92"/>
      <c r="N98" s="92"/>
      <c r="O98" s="92"/>
      <c r="P98" s="92"/>
      <c r="Q98" s="92"/>
      <c r="R98" s="92"/>
      <c r="S98" s="92"/>
    </row>
    <row r="99" spans="1:19" ht="12.75">
      <c r="A99" s="54"/>
      <c r="B99" s="205" t="s">
        <v>265</v>
      </c>
      <c r="C99" s="54"/>
      <c r="D99" s="160" t="s">
        <v>594</v>
      </c>
      <c r="E99" s="54"/>
      <c r="F99" s="54"/>
      <c r="G99" s="54"/>
      <c r="H99" s="54"/>
      <c r="I99" s="92"/>
      <c r="J99" s="92"/>
      <c r="K99" s="92"/>
      <c r="L99" s="92"/>
      <c r="M99" s="92"/>
      <c r="N99" s="92"/>
      <c r="O99" s="92"/>
      <c r="P99" s="92"/>
      <c r="Q99" s="92"/>
      <c r="R99" s="92"/>
      <c r="S99" s="92"/>
    </row>
    <row r="100" spans="1:19" ht="12.75">
      <c r="A100" s="54"/>
      <c r="B100" s="205" t="s">
        <v>265</v>
      </c>
      <c r="C100" s="54"/>
      <c r="D100" s="160" t="s">
        <v>595</v>
      </c>
      <c r="E100" s="54"/>
      <c r="F100" s="54"/>
      <c r="G100" s="54"/>
      <c r="H100" s="54"/>
      <c r="I100" s="92"/>
      <c r="J100" s="92"/>
      <c r="K100" s="92"/>
      <c r="L100" s="92"/>
      <c r="M100" s="92"/>
      <c r="N100" s="92"/>
      <c r="O100" s="92"/>
      <c r="P100" s="92"/>
      <c r="Q100" s="92"/>
      <c r="R100" s="92"/>
      <c r="S100" s="92"/>
    </row>
    <row r="101" spans="1:19" ht="12.75">
      <c r="A101" s="54"/>
      <c r="B101" s="205" t="s">
        <v>265</v>
      </c>
      <c r="C101" s="54"/>
      <c r="D101" s="160" t="s">
        <v>596</v>
      </c>
      <c r="E101" s="54"/>
      <c r="F101" s="54"/>
      <c r="G101" s="54"/>
      <c r="H101" s="54"/>
      <c r="I101" s="92"/>
      <c r="J101" s="92"/>
      <c r="K101" s="92"/>
      <c r="L101" s="92"/>
      <c r="M101" s="92"/>
      <c r="N101" s="92"/>
      <c r="O101" s="92"/>
      <c r="P101" s="92"/>
      <c r="Q101" s="92"/>
      <c r="R101" s="92"/>
      <c r="S101" s="92"/>
    </row>
    <row r="102" spans="1:19" ht="12.75">
      <c r="A102" s="54"/>
      <c r="B102" s="204" t="s">
        <v>1621</v>
      </c>
      <c r="C102" s="54"/>
      <c r="D102" s="160" t="s">
        <v>1116</v>
      </c>
      <c r="E102" s="54"/>
      <c r="F102" s="56"/>
      <c r="G102" s="54"/>
      <c r="H102" s="54"/>
      <c r="I102" s="92"/>
      <c r="J102" s="92"/>
      <c r="K102" s="92"/>
      <c r="L102" s="92"/>
      <c r="M102" s="92"/>
      <c r="N102" s="92"/>
      <c r="O102" s="92"/>
      <c r="P102" s="92"/>
      <c r="Q102" s="92"/>
      <c r="R102" s="92"/>
      <c r="S102" s="92"/>
    </row>
    <row r="103" spans="1:19" ht="12.75">
      <c r="A103" s="54"/>
      <c r="B103" s="204" t="s">
        <v>1621</v>
      </c>
      <c r="C103" s="57"/>
      <c r="D103" s="55" t="s">
        <v>1801</v>
      </c>
      <c r="E103" s="55"/>
      <c r="F103" s="56"/>
      <c r="G103" s="54"/>
      <c r="H103" s="54"/>
      <c r="I103" s="92"/>
      <c r="J103" s="92"/>
      <c r="K103" s="92"/>
      <c r="L103" s="92"/>
      <c r="M103" s="92"/>
      <c r="N103" s="92"/>
      <c r="O103" s="92"/>
      <c r="P103" s="92"/>
      <c r="Q103" s="92"/>
      <c r="R103" s="92"/>
      <c r="S103" s="92"/>
    </row>
    <row r="104" spans="1:19" ht="12.75">
      <c r="A104" s="54"/>
      <c r="B104" s="66" t="s">
        <v>1621</v>
      </c>
      <c r="C104" s="103"/>
      <c r="D104" s="55" t="s">
        <v>921</v>
      </c>
      <c r="E104" s="55"/>
      <c r="F104" s="54"/>
      <c r="G104" s="54"/>
      <c r="H104" s="54"/>
      <c r="I104" s="92"/>
      <c r="J104" s="92"/>
      <c r="K104" s="92"/>
      <c r="L104" s="92"/>
      <c r="M104" s="92"/>
      <c r="N104" s="92"/>
      <c r="O104" s="92"/>
      <c r="P104" s="92"/>
      <c r="Q104" s="92"/>
      <c r="R104" s="92"/>
      <c r="S104" s="92"/>
    </row>
    <row r="105" spans="1:19" ht="12.75">
      <c r="A105" s="54"/>
      <c r="B105" s="66" t="s">
        <v>1621</v>
      </c>
      <c r="C105" s="103"/>
      <c r="D105" s="55" t="s">
        <v>920</v>
      </c>
      <c r="E105" s="55"/>
      <c r="F105" s="54"/>
      <c r="G105" s="54"/>
      <c r="H105" s="54"/>
      <c r="I105" s="92"/>
      <c r="J105" s="92"/>
      <c r="K105" s="92"/>
      <c r="L105" s="92"/>
      <c r="M105" s="92"/>
      <c r="N105" s="92"/>
      <c r="O105" s="92"/>
      <c r="P105" s="92"/>
      <c r="Q105" s="92"/>
      <c r="R105" s="92"/>
      <c r="S105" s="92"/>
    </row>
    <row r="106" spans="1:19" ht="12.75">
      <c r="A106" s="54"/>
      <c r="B106" s="204" t="s">
        <v>1410</v>
      </c>
      <c r="C106" s="54"/>
      <c r="D106" s="55" t="s">
        <v>2021</v>
      </c>
      <c r="E106" s="54"/>
      <c r="F106" s="54"/>
      <c r="G106" s="54"/>
      <c r="H106" s="54"/>
      <c r="I106" s="92"/>
      <c r="J106" s="92"/>
      <c r="K106" s="92"/>
      <c r="L106" s="92"/>
      <c r="M106" s="92"/>
      <c r="N106" s="92"/>
      <c r="O106" s="92"/>
      <c r="P106" s="92"/>
      <c r="Q106" s="92"/>
      <c r="R106" s="92"/>
      <c r="S106" s="92"/>
    </row>
    <row r="107" spans="1:19" ht="12.75">
      <c r="A107" s="54"/>
      <c r="B107" s="204" t="s">
        <v>1410</v>
      </c>
      <c r="C107" s="54"/>
      <c r="D107" s="160" t="s">
        <v>193</v>
      </c>
      <c r="E107" s="54"/>
      <c r="F107" s="54"/>
      <c r="G107" s="54"/>
      <c r="H107" s="54"/>
      <c r="I107" s="92"/>
      <c r="J107" s="92"/>
      <c r="K107" s="92"/>
      <c r="L107" s="92"/>
      <c r="M107" s="92"/>
      <c r="N107" s="92"/>
      <c r="O107" s="92"/>
      <c r="P107" s="92"/>
      <c r="Q107" s="92"/>
      <c r="R107" s="92"/>
      <c r="S107" s="92"/>
    </row>
    <row r="108" spans="1:19" ht="12.75">
      <c r="A108" s="54"/>
      <c r="B108" s="204" t="s">
        <v>1410</v>
      </c>
      <c r="C108" s="57"/>
      <c r="D108" s="56" t="s">
        <v>33</v>
      </c>
      <c r="E108" s="55"/>
      <c r="F108" s="56"/>
      <c r="G108" s="54"/>
      <c r="H108" s="54"/>
      <c r="I108" s="92"/>
      <c r="J108" s="92"/>
      <c r="K108" s="92"/>
      <c r="L108" s="92"/>
      <c r="M108" s="92"/>
      <c r="N108" s="92"/>
      <c r="O108" s="92"/>
      <c r="P108" s="92"/>
      <c r="Q108" s="92"/>
      <c r="R108" s="92"/>
      <c r="S108" s="92"/>
    </row>
    <row r="109" spans="1:19" ht="12.75">
      <c r="A109" s="54"/>
      <c r="B109" s="204" t="s">
        <v>1410</v>
      </c>
      <c r="C109" s="54"/>
      <c r="D109" s="54" t="s">
        <v>1411</v>
      </c>
      <c r="E109" s="54"/>
      <c r="F109" s="56"/>
      <c r="G109" s="54"/>
      <c r="H109" s="54"/>
      <c r="I109" s="92"/>
      <c r="J109" s="92"/>
      <c r="K109" s="92"/>
      <c r="L109" s="92"/>
      <c r="M109" s="92"/>
      <c r="N109" s="92"/>
      <c r="O109" s="92"/>
      <c r="P109" s="92"/>
      <c r="Q109" s="92"/>
      <c r="R109" s="92"/>
      <c r="S109" s="92"/>
    </row>
    <row r="110" spans="1:19" ht="12.75">
      <c r="A110" s="54"/>
      <c r="B110" s="204" t="s">
        <v>1410</v>
      </c>
      <c r="C110" s="57"/>
      <c r="D110" s="55" t="s">
        <v>884</v>
      </c>
      <c r="E110" s="55"/>
      <c r="F110" s="54"/>
      <c r="G110" s="54"/>
      <c r="H110" s="54"/>
      <c r="I110" s="92"/>
      <c r="J110" s="92"/>
      <c r="K110" s="92"/>
      <c r="L110" s="92"/>
      <c r="M110" s="92"/>
      <c r="N110" s="92"/>
      <c r="O110" s="92"/>
      <c r="P110" s="92"/>
      <c r="Q110" s="92"/>
      <c r="R110" s="92"/>
      <c r="S110" s="92"/>
    </row>
    <row r="111" spans="1:19" ht="12.75">
      <c r="A111" s="54"/>
      <c r="B111" s="204" t="s">
        <v>1410</v>
      </c>
      <c r="C111" s="54"/>
      <c r="D111" s="55" t="s">
        <v>1129</v>
      </c>
      <c r="E111" s="54"/>
      <c r="F111" s="54"/>
      <c r="G111" s="54"/>
      <c r="H111" s="54"/>
      <c r="I111" s="92"/>
      <c r="J111" s="92"/>
      <c r="K111" s="92"/>
      <c r="L111" s="92"/>
      <c r="M111" s="92"/>
      <c r="N111" s="92"/>
      <c r="O111" s="92"/>
      <c r="P111" s="92"/>
      <c r="Q111" s="92"/>
      <c r="R111" s="92"/>
      <c r="S111" s="92"/>
    </row>
    <row r="112" spans="1:19" ht="12.75">
      <c r="A112" s="54"/>
      <c r="B112" s="204" t="s">
        <v>1410</v>
      </c>
      <c r="C112" s="54"/>
      <c r="D112" s="55" t="s">
        <v>889</v>
      </c>
      <c r="E112" s="54"/>
      <c r="F112" s="54"/>
      <c r="G112" s="54"/>
      <c r="H112" s="54"/>
      <c r="I112" s="92"/>
      <c r="J112" s="92"/>
      <c r="K112" s="92"/>
      <c r="L112" s="92"/>
      <c r="M112" s="92"/>
      <c r="N112" s="92"/>
      <c r="O112" s="92"/>
      <c r="P112" s="92"/>
      <c r="Q112" s="92"/>
      <c r="R112" s="92"/>
      <c r="S112" s="92"/>
    </row>
    <row r="113" spans="1:19" ht="12.75">
      <c r="A113" s="54"/>
      <c r="B113" s="204" t="s">
        <v>1410</v>
      </c>
      <c r="C113" s="54"/>
      <c r="D113" s="55" t="s">
        <v>890</v>
      </c>
      <c r="E113" s="54"/>
      <c r="F113" s="54"/>
      <c r="G113" s="54"/>
      <c r="H113" s="54"/>
      <c r="I113" s="92"/>
      <c r="J113" s="92"/>
      <c r="K113" s="92"/>
      <c r="L113" s="92"/>
      <c r="M113" s="92"/>
      <c r="N113" s="92"/>
      <c r="O113" s="92"/>
      <c r="P113" s="92"/>
      <c r="Q113" s="92"/>
      <c r="R113" s="92"/>
      <c r="S113" s="92"/>
    </row>
    <row r="114" spans="1:19" ht="12.75">
      <c r="A114" s="54"/>
      <c r="B114" s="204" t="s">
        <v>1410</v>
      </c>
      <c r="C114" s="54"/>
      <c r="D114" s="55" t="s">
        <v>31</v>
      </c>
      <c r="E114" s="54"/>
      <c r="F114" s="54"/>
      <c r="G114" s="54"/>
      <c r="H114" s="54"/>
      <c r="I114" s="92"/>
      <c r="J114" s="92"/>
      <c r="K114" s="92"/>
      <c r="L114" s="92"/>
      <c r="M114" s="92"/>
      <c r="N114" s="92"/>
      <c r="O114" s="92"/>
      <c r="P114" s="92"/>
      <c r="Q114" s="92"/>
      <c r="R114" s="92"/>
      <c r="S114" s="92"/>
    </row>
    <row r="115" spans="1:19" ht="12.75">
      <c r="A115" s="54"/>
      <c r="B115" s="204" t="s">
        <v>1410</v>
      </c>
      <c r="C115" s="57"/>
      <c r="D115" s="55" t="s">
        <v>674</v>
      </c>
      <c r="E115" s="55"/>
      <c r="F115" s="54"/>
      <c r="G115" s="54"/>
      <c r="H115" s="54"/>
      <c r="P115" s="92"/>
      <c r="Q115" s="92"/>
      <c r="R115" s="92"/>
      <c r="S115" s="92"/>
    </row>
    <row r="116" spans="1:19" ht="12.75">
      <c r="A116" s="54"/>
      <c r="B116" s="66" t="s">
        <v>1410</v>
      </c>
      <c r="C116" s="103"/>
      <c r="D116" s="54" t="s">
        <v>1123</v>
      </c>
      <c r="E116" s="54"/>
      <c r="F116" s="54"/>
      <c r="G116" s="54"/>
      <c r="H116" s="54"/>
      <c r="P116" s="92"/>
      <c r="Q116" s="92"/>
      <c r="R116" s="92"/>
      <c r="S116" s="92"/>
    </row>
    <row r="117" spans="1:19" ht="12.75">
      <c r="A117" s="54"/>
      <c r="B117" s="66" t="s">
        <v>1410</v>
      </c>
      <c r="C117" s="66"/>
      <c r="D117" s="54" t="s">
        <v>1122</v>
      </c>
      <c r="E117" s="54"/>
      <c r="F117" s="54"/>
      <c r="G117" s="54"/>
      <c r="H117" s="54"/>
      <c r="P117" s="92"/>
      <c r="Q117" s="92"/>
      <c r="R117" s="92"/>
      <c r="S117" s="92"/>
    </row>
    <row r="118" spans="1:19" ht="12.75">
      <c r="A118" s="54"/>
      <c r="B118" s="66" t="s">
        <v>1410</v>
      </c>
      <c r="C118" s="54"/>
      <c r="D118" s="54" t="s">
        <v>1127</v>
      </c>
      <c r="E118" s="54"/>
      <c r="F118" s="54"/>
      <c r="G118" s="54"/>
      <c r="H118" s="54"/>
      <c r="P118" s="92"/>
      <c r="Q118" s="92"/>
      <c r="R118" s="92"/>
      <c r="S118" s="92"/>
    </row>
    <row r="119" spans="1:19" ht="12.75">
      <c r="A119" s="54"/>
      <c r="B119" s="66" t="s">
        <v>1410</v>
      </c>
      <c r="C119" s="54"/>
      <c r="D119" s="54" t="s">
        <v>1128</v>
      </c>
      <c r="E119" s="54"/>
      <c r="F119" s="54"/>
      <c r="G119" s="54"/>
      <c r="H119" s="54"/>
      <c r="P119" s="92"/>
      <c r="Q119" s="92"/>
      <c r="R119" s="92"/>
      <c r="S119" s="92"/>
    </row>
    <row r="120" spans="1:19" ht="12.75">
      <c r="A120" s="54"/>
      <c r="B120" s="66" t="s">
        <v>1410</v>
      </c>
      <c r="C120" s="54"/>
      <c r="D120" s="54" t="s">
        <v>1130</v>
      </c>
      <c r="E120" s="54"/>
      <c r="F120" s="54"/>
      <c r="G120" s="54"/>
      <c r="H120" s="54"/>
      <c r="P120" s="92"/>
      <c r="Q120" s="92"/>
      <c r="R120" s="92"/>
      <c r="S120" s="92"/>
    </row>
    <row r="121" spans="1:19" ht="12.75">
      <c r="A121" s="54"/>
      <c r="B121" s="66" t="s">
        <v>1410</v>
      </c>
      <c r="C121" s="54"/>
      <c r="D121" s="54" t="s">
        <v>0</v>
      </c>
      <c r="E121" s="54"/>
      <c r="F121" s="54"/>
      <c r="G121" s="54"/>
      <c r="H121" s="54"/>
      <c r="P121" s="92"/>
      <c r="Q121" s="92"/>
      <c r="R121" s="92"/>
      <c r="S121" s="92"/>
    </row>
    <row r="122" spans="1:19" ht="12.75">
      <c r="A122" s="54"/>
      <c r="B122" s="66" t="s">
        <v>1410</v>
      </c>
      <c r="C122" s="54"/>
      <c r="D122" s="54" t="s">
        <v>2023</v>
      </c>
      <c r="E122" s="54"/>
      <c r="F122" s="54"/>
      <c r="G122" s="54"/>
      <c r="H122" s="54"/>
      <c r="P122" s="92"/>
      <c r="Q122" s="92"/>
      <c r="R122" s="92"/>
      <c r="S122" s="92"/>
    </row>
    <row r="123" spans="1:19" ht="12.75">
      <c r="A123" s="54"/>
      <c r="B123" s="66" t="s">
        <v>1410</v>
      </c>
      <c r="C123" s="54"/>
      <c r="D123" s="54" t="s">
        <v>588</v>
      </c>
      <c r="E123" s="54"/>
      <c r="F123" s="54"/>
      <c r="G123" s="54"/>
      <c r="H123" s="54"/>
      <c r="P123" s="92"/>
      <c r="Q123" s="92"/>
      <c r="R123" s="92"/>
      <c r="S123" s="92"/>
    </row>
    <row r="124" spans="1:19" ht="12.75">
      <c r="A124" s="54"/>
      <c r="B124" s="66" t="s">
        <v>1410</v>
      </c>
      <c r="C124" s="54"/>
      <c r="D124" s="54" t="s">
        <v>589</v>
      </c>
      <c r="E124" s="54"/>
      <c r="F124" s="54"/>
      <c r="G124" s="54"/>
      <c r="H124" s="54"/>
      <c r="P124" s="92"/>
      <c r="Q124" s="92"/>
      <c r="R124" s="92"/>
      <c r="S124" s="92"/>
    </row>
    <row r="125" spans="1:19" ht="12.75">
      <c r="A125" s="54"/>
      <c r="B125" s="66" t="s">
        <v>1410</v>
      </c>
      <c r="C125" s="54"/>
      <c r="D125" s="54" t="s">
        <v>590</v>
      </c>
      <c r="E125" s="54"/>
      <c r="F125" s="54"/>
      <c r="G125" s="54"/>
      <c r="H125" s="54"/>
      <c r="P125" s="92"/>
      <c r="Q125" s="92"/>
      <c r="R125" s="92"/>
      <c r="S125" s="92"/>
    </row>
    <row r="126" spans="1:19" ht="12.75">
      <c r="A126" s="54"/>
      <c r="B126" s="54" t="s">
        <v>1410</v>
      </c>
      <c r="C126" s="54"/>
      <c r="D126" s="147" t="s">
        <v>591</v>
      </c>
      <c r="E126" s="54"/>
      <c r="F126" s="54"/>
      <c r="G126" s="54"/>
      <c r="H126" s="54"/>
      <c r="P126" s="92"/>
      <c r="Q126" s="92"/>
      <c r="R126" s="92"/>
      <c r="S126" s="92"/>
    </row>
    <row r="127" spans="1:19" ht="12.75">
      <c r="A127" s="54"/>
      <c r="B127" s="54" t="s">
        <v>1410</v>
      </c>
      <c r="C127" s="54"/>
      <c r="D127" s="147" t="s">
        <v>598</v>
      </c>
      <c r="E127" s="54"/>
      <c r="F127" s="54"/>
      <c r="G127" s="54"/>
      <c r="H127" s="54"/>
      <c r="P127" s="92"/>
      <c r="Q127" s="92"/>
      <c r="R127" s="92"/>
      <c r="S127" s="92"/>
    </row>
    <row r="128" spans="1:19" ht="12.75">
      <c r="A128" s="92"/>
      <c r="B128" s="92"/>
      <c r="C128" s="92"/>
      <c r="D128" s="92"/>
      <c r="E128" s="92"/>
      <c r="F128" s="92"/>
      <c r="G128" s="92"/>
      <c r="H128" s="92"/>
      <c r="P128" s="92"/>
      <c r="Q128" s="92"/>
      <c r="R128" s="92"/>
      <c r="S128" s="92"/>
    </row>
    <row r="129" spans="1:19" ht="12.75">
      <c r="A129" s="92"/>
      <c r="B129" s="92"/>
      <c r="C129" s="92"/>
      <c r="D129" s="92"/>
      <c r="E129" s="92"/>
      <c r="F129" s="92"/>
      <c r="G129" s="92"/>
      <c r="H129" s="92"/>
      <c r="P129" s="92"/>
      <c r="Q129" s="92"/>
      <c r="R129" s="92"/>
      <c r="S129" s="92"/>
    </row>
    <row r="130" spans="1:19" ht="12.75">
      <c r="A130" s="92"/>
      <c r="B130" s="92"/>
      <c r="C130" s="92"/>
      <c r="D130" s="92"/>
      <c r="E130" s="92"/>
      <c r="F130" s="92"/>
      <c r="G130" s="92"/>
      <c r="H130" s="92"/>
      <c r="P130" s="92"/>
      <c r="Q130" s="92"/>
      <c r="R130" s="92"/>
      <c r="S130" s="92"/>
    </row>
    <row r="131" spans="1:19" ht="12.75">
      <c r="A131" s="92"/>
      <c r="B131" s="92"/>
      <c r="C131" s="92"/>
      <c r="D131" s="92"/>
      <c r="E131" s="92"/>
      <c r="F131" s="92"/>
      <c r="G131" s="92"/>
      <c r="H131" s="92"/>
      <c r="P131" s="92"/>
      <c r="Q131" s="92"/>
      <c r="R131" s="92"/>
      <c r="S131" s="92"/>
    </row>
    <row r="132" spans="1:19" ht="12.75">
      <c r="A132" s="92"/>
      <c r="B132" s="92"/>
      <c r="C132" s="92"/>
      <c r="D132" s="92"/>
      <c r="E132" s="92"/>
      <c r="F132" s="92"/>
      <c r="G132" s="92"/>
      <c r="H132" s="92"/>
      <c r="P132" s="92"/>
      <c r="Q132" s="92"/>
      <c r="R132" s="92"/>
      <c r="S132" s="92"/>
    </row>
    <row r="133" spans="1:19" ht="12.75">
      <c r="A133" s="92"/>
      <c r="B133" s="92"/>
      <c r="C133" s="92"/>
      <c r="D133" s="92"/>
      <c r="E133" s="92"/>
      <c r="F133" s="92"/>
      <c r="G133" s="92"/>
      <c r="H133" s="92"/>
      <c r="P133" s="92"/>
      <c r="Q133" s="92"/>
      <c r="R133" s="92"/>
      <c r="S133" s="92"/>
    </row>
    <row r="134" spans="1:19" ht="12.75">
      <c r="A134" s="92"/>
      <c r="B134" s="92"/>
      <c r="C134" s="92"/>
      <c r="D134" s="92"/>
      <c r="E134" s="92"/>
      <c r="F134" s="92"/>
      <c r="G134" s="92"/>
      <c r="H134" s="92"/>
      <c r="P134" s="92"/>
      <c r="Q134" s="92"/>
      <c r="R134" s="92"/>
      <c r="S134" s="92"/>
    </row>
    <row r="135" spans="1:19" ht="12.75">
      <c r="A135" s="92"/>
      <c r="B135" s="92"/>
      <c r="C135" s="92"/>
      <c r="D135" s="92"/>
      <c r="E135" s="92"/>
      <c r="F135" s="92"/>
      <c r="G135" s="92"/>
      <c r="H135" s="92"/>
      <c r="P135" s="92"/>
      <c r="Q135" s="92"/>
      <c r="R135" s="92"/>
      <c r="S135" s="92"/>
    </row>
    <row r="136" spans="1:19" ht="12.75">
      <c r="A136" s="92"/>
      <c r="B136" s="92"/>
      <c r="C136" s="92"/>
      <c r="D136" s="92"/>
      <c r="E136" s="92"/>
      <c r="F136" s="92"/>
      <c r="G136" s="92"/>
      <c r="H136" s="92"/>
      <c r="P136" s="92"/>
      <c r="Q136" s="92"/>
      <c r="R136" s="92"/>
      <c r="S136" s="92"/>
    </row>
    <row r="137" spans="1:19" ht="12.75">
      <c r="A137" s="92"/>
      <c r="B137" s="92"/>
      <c r="C137" s="92"/>
      <c r="D137" s="92"/>
      <c r="E137" s="92"/>
      <c r="F137" s="92"/>
      <c r="G137" s="92"/>
      <c r="H137" s="92"/>
      <c r="P137" s="92"/>
      <c r="Q137" s="92"/>
      <c r="R137" s="92"/>
      <c r="S137" s="92"/>
    </row>
    <row r="138" spans="1:19" ht="12.75">
      <c r="A138" s="92"/>
      <c r="B138" s="92"/>
      <c r="C138" s="92"/>
      <c r="D138" s="92"/>
      <c r="E138" s="92"/>
      <c r="F138" s="92"/>
      <c r="G138" s="92"/>
      <c r="H138" s="92"/>
      <c r="P138" s="92"/>
      <c r="Q138" s="92"/>
      <c r="R138" s="92"/>
      <c r="S138" s="92"/>
    </row>
    <row r="139" spans="1:19" ht="12.75">
      <c r="A139" s="92"/>
      <c r="B139" s="92"/>
      <c r="C139" s="92"/>
      <c r="D139" s="92"/>
      <c r="E139" s="92"/>
      <c r="F139" s="92"/>
      <c r="G139" s="92"/>
      <c r="H139" s="92"/>
      <c r="P139" s="92"/>
      <c r="Q139" s="92"/>
      <c r="R139" s="92"/>
      <c r="S139" s="92"/>
    </row>
    <row r="140" spans="1:19" ht="12.75">
      <c r="A140" s="92"/>
      <c r="B140" s="92"/>
      <c r="C140" s="92"/>
      <c r="D140" s="92"/>
      <c r="E140" s="92"/>
      <c r="F140" s="92"/>
      <c r="G140" s="92"/>
      <c r="H140" s="92"/>
      <c r="P140" s="92"/>
      <c r="Q140" s="92"/>
      <c r="R140" s="92"/>
      <c r="S140" s="92"/>
    </row>
    <row r="141" spans="1:19" ht="12.75">
      <c r="A141" s="92"/>
      <c r="B141" s="92"/>
      <c r="C141" s="92"/>
      <c r="D141" s="92"/>
      <c r="E141" s="92"/>
      <c r="F141" s="92"/>
      <c r="G141" s="92"/>
      <c r="H141" s="92"/>
      <c r="P141" s="92"/>
      <c r="Q141" s="92"/>
      <c r="R141" s="92"/>
      <c r="S141" s="92"/>
    </row>
    <row r="142" spans="1:19" ht="12.75">
      <c r="A142" s="92"/>
      <c r="B142" s="92"/>
      <c r="C142" s="92"/>
      <c r="D142" s="92"/>
      <c r="E142" s="92"/>
      <c r="F142" s="92"/>
      <c r="G142" s="92"/>
      <c r="H142" s="92"/>
      <c r="P142" s="92"/>
      <c r="Q142" s="92"/>
      <c r="R142" s="92"/>
      <c r="S142" s="92"/>
    </row>
    <row r="143" spans="1:19" ht="12.75">
      <c r="A143" s="92"/>
      <c r="B143" s="92"/>
      <c r="C143" s="92"/>
      <c r="D143" s="92"/>
      <c r="E143" s="92"/>
      <c r="F143" s="92"/>
      <c r="G143" s="92"/>
      <c r="H143" s="92"/>
      <c r="P143" s="92"/>
      <c r="Q143" s="92"/>
      <c r="R143" s="92"/>
      <c r="S143" s="92"/>
    </row>
    <row r="144" spans="1:19" ht="12.75">
      <c r="A144" s="92"/>
      <c r="B144" s="92"/>
      <c r="C144" s="92"/>
      <c r="D144" s="92"/>
      <c r="E144" s="92"/>
      <c r="F144" s="92"/>
      <c r="G144" s="92"/>
      <c r="H144" s="92"/>
      <c r="P144" s="92"/>
      <c r="Q144" s="92"/>
      <c r="R144" s="92"/>
      <c r="S144" s="92"/>
    </row>
    <row r="145" spans="1:19" ht="12.75">
      <c r="A145" s="92"/>
      <c r="B145" s="92"/>
      <c r="C145" s="92"/>
      <c r="D145" s="92"/>
      <c r="E145" s="92"/>
      <c r="F145" s="92"/>
      <c r="G145" s="92"/>
      <c r="H145" s="92"/>
      <c r="P145" s="92"/>
      <c r="Q145" s="92"/>
      <c r="R145" s="92"/>
      <c r="S145" s="92"/>
    </row>
    <row r="146" spans="1:19" ht="12.75">
      <c r="A146" s="92"/>
      <c r="B146" s="92"/>
      <c r="C146" s="92"/>
      <c r="D146" s="92"/>
      <c r="E146" s="92"/>
      <c r="F146" s="92"/>
      <c r="G146" s="92"/>
      <c r="H146" s="92"/>
      <c r="P146" s="92"/>
      <c r="Q146" s="92"/>
      <c r="R146" s="92"/>
      <c r="S146" s="92"/>
    </row>
    <row r="147" spans="1:19" ht="12.75">
      <c r="A147" s="92"/>
      <c r="B147" s="92"/>
      <c r="C147" s="92"/>
      <c r="D147" s="92"/>
      <c r="E147" s="92"/>
      <c r="F147" s="92"/>
      <c r="G147" s="92"/>
      <c r="H147" s="92"/>
      <c r="P147" s="92"/>
      <c r="Q147" s="92"/>
      <c r="R147" s="92"/>
      <c r="S147" s="92"/>
    </row>
    <row r="148" spans="1:19" ht="12.75">
      <c r="A148" s="92"/>
      <c r="B148" s="92"/>
      <c r="C148" s="92"/>
      <c r="D148" s="92"/>
      <c r="E148" s="92"/>
      <c r="F148" s="92"/>
      <c r="G148" s="92"/>
      <c r="H148" s="92"/>
      <c r="P148" s="92"/>
      <c r="Q148" s="92"/>
      <c r="R148" s="92"/>
      <c r="S148" s="92"/>
    </row>
    <row r="149" spans="1:19" ht="12.75">
      <c r="A149" s="92"/>
      <c r="B149" s="92"/>
      <c r="C149" s="92"/>
      <c r="D149" s="92"/>
      <c r="E149" s="92"/>
      <c r="F149" s="92"/>
      <c r="G149" s="92"/>
      <c r="H149" s="92"/>
      <c r="P149" s="92"/>
      <c r="Q149" s="92"/>
      <c r="R149" s="92"/>
      <c r="S149" s="92"/>
    </row>
    <row r="150" spans="1:19" ht="12.75">
      <c r="A150" s="92"/>
      <c r="B150" s="92"/>
      <c r="C150" s="92"/>
      <c r="D150" s="92"/>
      <c r="E150" s="92"/>
      <c r="F150" s="92"/>
      <c r="G150" s="92"/>
      <c r="H150" s="92"/>
      <c r="P150" s="92"/>
      <c r="Q150" s="92"/>
      <c r="R150" s="92"/>
      <c r="S150" s="92"/>
    </row>
    <row r="151" spans="1:19" ht="12.75">
      <c r="A151" s="92"/>
      <c r="B151" s="92"/>
      <c r="C151" s="92"/>
      <c r="D151" s="92"/>
      <c r="E151" s="92"/>
      <c r="F151" s="92"/>
      <c r="G151" s="92"/>
      <c r="H151" s="92"/>
      <c r="P151" s="92"/>
      <c r="Q151" s="92"/>
      <c r="R151" s="92"/>
      <c r="S151" s="92"/>
    </row>
    <row r="152" spans="1:19" ht="12.75">
      <c r="A152" s="92"/>
      <c r="B152" s="92"/>
      <c r="C152" s="92"/>
      <c r="D152" s="92"/>
      <c r="E152" s="92"/>
      <c r="F152" s="92"/>
      <c r="G152" s="92"/>
      <c r="H152" s="92"/>
      <c r="P152" s="92"/>
      <c r="Q152" s="92"/>
      <c r="R152" s="92"/>
      <c r="S152" s="92"/>
    </row>
    <row r="153" spans="1:19" ht="12.75">
      <c r="A153" s="92"/>
      <c r="B153" s="92"/>
      <c r="C153" s="92"/>
      <c r="D153" s="92"/>
      <c r="E153" s="92"/>
      <c r="F153" s="92"/>
      <c r="G153" s="92"/>
      <c r="H153" s="92"/>
      <c r="P153" s="92"/>
      <c r="Q153" s="92"/>
      <c r="R153" s="92"/>
      <c r="S153" s="92"/>
    </row>
    <row r="154" spans="1:19" ht="12.75">
      <c r="A154" s="92"/>
      <c r="B154" s="92"/>
      <c r="C154" s="92"/>
      <c r="D154" s="92"/>
      <c r="E154" s="92"/>
      <c r="F154" s="92"/>
      <c r="G154" s="92"/>
      <c r="H154" s="92"/>
      <c r="P154" s="92"/>
      <c r="Q154" s="92"/>
      <c r="R154" s="92"/>
      <c r="S154" s="92"/>
    </row>
    <row r="155" spans="1:19" ht="12.75">
      <c r="A155" s="92"/>
      <c r="B155" s="92"/>
      <c r="C155" s="92"/>
      <c r="D155" s="92"/>
      <c r="E155" s="92"/>
      <c r="F155" s="92"/>
      <c r="G155" s="92"/>
      <c r="H155" s="92"/>
      <c r="P155" s="92"/>
      <c r="Q155" s="92"/>
      <c r="R155" s="92"/>
      <c r="S155" s="92"/>
    </row>
    <row r="156" spans="1:19" ht="12.75">
      <c r="A156" s="92"/>
      <c r="B156" s="92"/>
      <c r="C156" s="92"/>
      <c r="D156" s="92"/>
      <c r="E156" s="92"/>
      <c r="F156" s="92"/>
      <c r="G156" s="92"/>
      <c r="H156" s="92"/>
      <c r="P156" s="92"/>
      <c r="Q156" s="92"/>
      <c r="R156" s="92"/>
      <c r="S156" s="92"/>
    </row>
    <row r="157" spans="16:19" ht="12.75">
      <c r="P157" s="92"/>
      <c r="Q157" s="92"/>
      <c r="R157" s="92"/>
      <c r="S157" s="92"/>
    </row>
    <row r="158" spans="16:19" ht="12.75">
      <c r="P158" s="92"/>
      <c r="Q158" s="92"/>
      <c r="R158" s="92"/>
      <c r="S158" s="92"/>
    </row>
    <row r="159" spans="16:19" ht="12.75">
      <c r="P159" s="92"/>
      <c r="Q159" s="92"/>
      <c r="R159" s="92"/>
      <c r="S159" s="92"/>
    </row>
    <row r="160" spans="16:19" ht="12.75">
      <c r="P160" s="92"/>
      <c r="Q160" s="92"/>
      <c r="R160" s="92"/>
      <c r="S160" s="92"/>
    </row>
    <row r="161" spans="16:19" ht="12.75">
      <c r="P161" s="92"/>
      <c r="Q161" s="92"/>
      <c r="R161" s="92"/>
      <c r="S161" s="92"/>
    </row>
    <row r="162" spans="16:19" ht="12.75">
      <c r="P162" s="92"/>
      <c r="Q162" s="92"/>
      <c r="R162" s="92"/>
      <c r="S162" s="92"/>
    </row>
    <row r="163" spans="16:19" ht="12.75">
      <c r="P163" s="92"/>
      <c r="Q163" s="92"/>
      <c r="R163" s="92"/>
      <c r="S163" s="92"/>
    </row>
    <row r="164" spans="16:19" ht="12.75">
      <c r="P164" s="92"/>
      <c r="Q164" s="92"/>
      <c r="R164" s="92"/>
      <c r="S164" s="92"/>
    </row>
    <row r="165" spans="16:19" ht="12.75">
      <c r="P165" s="92"/>
      <c r="Q165" s="92"/>
      <c r="R165" s="92"/>
      <c r="S165" s="92"/>
    </row>
    <row r="166" spans="16:19" ht="12.75">
      <c r="P166" s="92"/>
      <c r="Q166" s="92"/>
      <c r="R166" s="92"/>
      <c r="S166" s="92"/>
    </row>
    <row r="167" spans="16:19" ht="12.75">
      <c r="P167" s="92"/>
      <c r="Q167" s="92"/>
      <c r="R167" s="92"/>
      <c r="S167" s="92"/>
    </row>
    <row r="168" spans="16:19" ht="12.75">
      <c r="P168" s="92"/>
      <c r="Q168" s="92"/>
      <c r="R168" s="92"/>
      <c r="S168" s="92"/>
    </row>
    <row r="169" spans="16:19" ht="12.75">
      <c r="P169" s="92"/>
      <c r="Q169" s="92"/>
      <c r="R169" s="92"/>
      <c r="S169" s="92"/>
    </row>
    <row r="170" spans="16:19" ht="12.75">
      <c r="P170" s="92"/>
      <c r="Q170" s="92"/>
      <c r="R170" s="92"/>
      <c r="S170" s="92"/>
    </row>
    <row r="171" spans="16:19" ht="12.75">
      <c r="P171" s="92"/>
      <c r="Q171" s="92"/>
      <c r="R171" s="92"/>
      <c r="S171" s="92"/>
    </row>
    <row r="172" spans="16:19" ht="12.75">
      <c r="P172" s="92"/>
      <c r="Q172" s="92"/>
      <c r="R172" s="92"/>
      <c r="S172" s="92"/>
    </row>
    <row r="173" spans="16:19" ht="12.75">
      <c r="P173" s="92"/>
      <c r="Q173" s="92"/>
      <c r="R173" s="92"/>
      <c r="S173" s="92"/>
    </row>
    <row r="174" spans="16:19" ht="12.75">
      <c r="P174" s="92"/>
      <c r="Q174" s="92"/>
      <c r="R174" s="92"/>
      <c r="S174" s="92"/>
    </row>
    <row r="175" spans="16:19" ht="12.75">
      <c r="P175" s="92"/>
      <c r="Q175" s="92"/>
      <c r="R175" s="92"/>
      <c r="S175" s="92"/>
    </row>
    <row r="176" spans="16:19" ht="12.75">
      <c r="P176" s="92"/>
      <c r="Q176" s="92"/>
      <c r="R176" s="92"/>
      <c r="S176" s="92"/>
    </row>
    <row r="177" spans="16:19" ht="12.75">
      <c r="P177" s="92"/>
      <c r="Q177" s="92"/>
      <c r="R177" s="92"/>
      <c r="S177" s="92"/>
    </row>
    <row r="178" spans="16:19" ht="12.75">
      <c r="P178" s="92"/>
      <c r="Q178" s="92"/>
      <c r="R178" s="92"/>
      <c r="S178" s="92"/>
    </row>
    <row r="179" spans="16:19" ht="12.75">
      <c r="P179" s="92"/>
      <c r="Q179" s="92"/>
      <c r="R179" s="92"/>
      <c r="S179" s="92"/>
    </row>
    <row r="180" spans="16:19" ht="12.75">
      <c r="P180" s="92"/>
      <c r="Q180" s="92"/>
      <c r="R180" s="92"/>
      <c r="S180" s="92"/>
    </row>
    <row r="181" spans="16:19" ht="12.75">
      <c r="P181" s="92"/>
      <c r="Q181" s="92"/>
      <c r="R181" s="92"/>
      <c r="S181" s="92"/>
    </row>
    <row r="182" spans="16:19" ht="12.75">
      <c r="P182" s="92"/>
      <c r="Q182" s="92"/>
      <c r="R182" s="92"/>
      <c r="S182" s="92"/>
    </row>
    <row r="183" spans="16:19" ht="12.75">
      <c r="P183" s="92"/>
      <c r="Q183" s="92"/>
      <c r="R183" s="92"/>
      <c r="S183" s="92"/>
    </row>
  </sheetData>
  <printOptions/>
  <pageMargins left="0.75" right="0.75" top="0.3" bottom="0.27" header="0.12" footer="0.2"/>
  <pageSetup horizontalDpi="300" verticalDpi="300" orientation="portrait" r:id="rId1"/>
</worksheet>
</file>

<file path=xl/worksheets/sheet15.xml><?xml version="1.0" encoding="utf-8"?>
<worksheet xmlns="http://schemas.openxmlformats.org/spreadsheetml/2006/main" xmlns:r="http://schemas.openxmlformats.org/officeDocument/2006/relationships">
  <dimension ref="A1:AD87"/>
  <sheetViews>
    <sheetView workbookViewId="0" topLeftCell="A1">
      <pane ySplit="1" topLeftCell="BM6" activePane="bottomLeft" state="frozen"/>
      <selection pane="topLeft" activeCell="A1" sqref="A1"/>
      <selection pane="bottomLeft" activeCell="E24" sqref="E24"/>
    </sheetView>
  </sheetViews>
  <sheetFormatPr defaultColWidth="9.140625" defaultRowHeight="12.75"/>
  <cols>
    <col min="1" max="1" width="6.00390625" style="0" bestFit="1" customWidth="1"/>
    <col min="2" max="2" width="5.00390625" style="0" bestFit="1" customWidth="1"/>
    <col min="3" max="3" width="4.57421875" style="0" bestFit="1" customWidth="1"/>
    <col min="4" max="4" width="4.28125" style="0" customWidth="1"/>
    <col min="5" max="5" width="29.7109375" style="0" customWidth="1"/>
    <col min="6" max="6" width="3.8515625" style="0" customWidth="1"/>
    <col min="7" max="7" width="4.00390625" style="0" customWidth="1"/>
    <col min="8" max="8" width="2.8515625" style="0" customWidth="1"/>
    <col min="9" max="9" width="3.7109375" style="0" customWidth="1"/>
    <col min="10" max="10" width="3.00390625" style="0" customWidth="1"/>
    <col min="11" max="11" width="2.8515625" style="0" customWidth="1"/>
    <col min="12" max="12" width="3.7109375" style="0" customWidth="1"/>
    <col min="13" max="13" width="2.8515625" style="0" customWidth="1"/>
    <col min="14" max="14" width="2.57421875" style="0" customWidth="1"/>
    <col min="15" max="15" width="3.7109375" style="0" customWidth="1"/>
    <col min="16" max="16" width="3.57421875" style="0" customWidth="1"/>
    <col min="17" max="17" width="3.00390625" style="0" customWidth="1"/>
    <col min="18" max="18" width="3.28125" style="0" customWidth="1"/>
    <col min="19" max="19" width="4.421875" style="0" customWidth="1"/>
    <col min="20" max="20" width="3.00390625" style="0" customWidth="1"/>
    <col min="21" max="21" width="4.7109375" style="0" bestFit="1" customWidth="1"/>
    <col min="22" max="22" width="4.28125" style="0" bestFit="1" customWidth="1"/>
    <col min="23" max="23" width="4.00390625" style="0" customWidth="1"/>
    <col min="24" max="25" width="4.00390625" style="0" bestFit="1" customWidth="1"/>
    <col min="26" max="27" width="4.7109375" style="0" customWidth="1"/>
  </cols>
  <sheetData>
    <row r="1" spans="2:29" ht="118.5" customHeight="1">
      <c r="B1" s="28" t="s">
        <v>1603</v>
      </c>
      <c r="C1" t="s">
        <v>1265</v>
      </c>
      <c r="D1" t="s">
        <v>1604</v>
      </c>
      <c r="E1" s="12" t="s">
        <v>2075</v>
      </c>
      <c r="F1" s="28" t="s">
        <v>1932</v>
      </c>
      <c r="G1" s="1" t="s">
        <v>559</v>
      </c>
      <c r="H1" s="1" t="s">
        <v>585</v>
      </c>
      <c r="I1" s="1" t="s">
        <v>584</v>
      </c>
      <c r="J1" s="1" t="s">
        <v>583</v>
      </c>
      <c r="K1" s="1" t="s">
        <v>582</v>
      </c>
      <c r="L1" s="1" t="s">
        <v>581</v>
      </c>
      <c r="M1" s="1" t="s">
        <v>580</v>
      </c>
      <c r="N1" s="1" t="s">
        <v>579</v>
      </c>
      <c r="O1" s="1" t="s">
        <v>560</v>
      </c>
      <c r="P1" s="1" t="s">
        <v>1798</v>
      </c>
      <c r="Q1" s="1" t="s">
        <v>1797</v>
      </c>
      <c r="R1" s="1" t="s">
        <v>1785</v>
      </c>
      <c r="S1" s="1" t="s">
        <v>1820</v>
      </c>
      <c r="T1" s="1" t="s">
        <v>563</v>
      </c>
      <c r="U1" s="1" t="s">
        <v>572</v>
      </c>
      <c r="V1" s="1" t="s">
        <v>571</v>
      </c>
      <c r="W1" s="1" t="s">
        <v>575</v>
      </c>
      <c r="X1" s="1" t="s">
        <v>576</v>
      </c>
      <c r="Y1" s="1" t="s">
        <v>577</v>
      </c>
      <c r="Z1" s="1" t="s">
        <v>578</v>
      </c>
      <c r="AA1" s="1" t="s">
        <v>553</v>
      </c>
      <c r="AB1" s="1"/>
      <c r="AC1" s="1"/>
    </row>
    <row r="2" spans="1:29" ht="12.75">
      <c r="A2" s="9">
        <f aca="true" t="shared" si="0" ref="A2:A15">G2*U2</f>
        <v>420</v>
      </c>
      <c r="B2">
        <f>3*F2</f>
        <v>105</v>
      </c>
      <c r="C2" s="2">
        <f aca="true" t="shared" si="1" ref="C2:C25">B2/28.349523</f>
        <v>3.703766021036756</v>
      </c>
      <c r="D2" s="2">
        <f aca="true" t="shared" si="2" ref="D2:D25">C2/16</f>
        <v>0.23148537631479724</v>
      </c>
      <c r="E2" s="11" t="s">
        <v>2004</v>
      </c>
      <c r="F2" s="9">
        <v>35</v>
      </c>
      <c r="G2">
        <v>140</v>
      </c>
      <c r="H2">
        <v>4</v>
      </c>
      <c r="I2" s="10">
        <v>0.5</v>
      </c>
      <c r="J2" s="6">
        <v>0</v>
      </c>
      <c r="K2" s="6">
        <v>24</v>
      </c>
      <c r="L2" s="6">
        <v>12</v>
      </c>
      <c r="M2" s="6">
        <v>3</v>
      </c>
      <c r="N2" s="6">
        <v>2</v>
      </c>
      <c r="O2" s="2">
        <f aca="true" t="shared" si="3" ref="O2:O15">G2/F2</f>
        <v>4</v>
      </c>
      <c r="P2" s="16">
        <f aca="true" t="shared" si="4" ref="P2:P15">100*4*M2/G2</f>
        <v>8.571428571428571</v>
      </c>
      <c r="Q2" s="9">
        <f aca="true" t="shared" si="5" ref="Q2:Q15">100*9*H2/G2</f>
        <v>25.714285714285715</v>
      </c>
      <c r="R2" s="16">
        <f aca="true" t="shared" si="6" ref="R2:R15">100*(I2*9)/G2</f>
        <v>3.2142857142857144</v>
      </c>
      <c r="S2" s="16">
        <f aca="true" t="shared" si="7" ref="S2:S15">100*K2*4/G2</f>
        <v>68.57142857142857</v>
      </c>
      <c r="T2" s="9">
        <f aca="true" t="shared" si="8" ref="T2:T15">100*N2/F2</f>
        <v>5.714285714285714</v>
      </c>
      <c r="U2" s="44">
        <f aca="true" t="shared" si="9" ref="U2:U15">B2/F2</f>
        <v>3</v>
      </c>
      <c r="V2" s="16">
        <f aca="true" t="shared" si="10" ref="V2:V15">U2*M2</f>
        <v>9</v>
      </c>
      <c r="W2" s="9">
        <f aca="true" t="shared" si="11" ref="W2:W15">U2*H2</f>
        <v>12</v>
      </c>
      <c r="X2" s="9">
        <f aca="true" t="shared" si="12" ref="X2:X15">U2*K2</f>
        <v>72</v>
      </c>
      <c r="Y2" s="9">
        <f aca="true" t="shared" si="13" ref="Y2:Y15">N2*U2</f>
        <v>6</v>
      </c>
      <c r="Z2">
        <f aca="true" t="shared" si="14" ref="Z2:Z15">U2*J2</f>
        <v>0</v>
      </c>
      <c r="AA2" s="2">
        <f aca="true" t="shared" si="15" ref="AA2:AA15">I2*U2</f>
        <v>1.5</v>
      </c>
      <c r="AB2" s="9" t="s">
        <v>1823</v>
      </c>
      <c r="AC2" s="9"/>
    </row>
    <row r="3" spans="1:29" ht="12.75">
      <c r="A3" s="9">
        <f t="shared" si="0"/>
        <v>270</v>
      </c>
      <c r="B3">
        <f>88-22</f>
        <v>66</v>
      </c>
      <c r="C3" s="2">
        <f t="shared" si="1"/>
        <v>2.3280814989373892</v>
      </c>
      <c r="D3" s="2">
        <f t="shared" si="2"/>
        <v>0.14550509368358683</v>
      </c>
      <c r="E3" s="11" t="s">
        <v>253</v>
      </c>
      <c r="F3" s="9">
        <v>22</v>
      </c>
      <c r="G3">
        <v>90</v>
      </c>
      <c r="H3">
        <v>2</v>
      </c>
      <c r="I3" s="10">
        <v>0.5</v>
      </c>
      <c r="J3">
        <v>0</v>
      </c>
      <c r="K3">
        <v>18</v>
      </c>
      <c r="L3">
        <v>8</v>
      </c>
      <c r="M3">
        <v>1</v>
      </c>
      <c r="N3">
        <v>0</v>
      </c>
      <c r="O3" s="2">
        <f t="shared" si="3"/>
        <v>4.090909090909091</v>
      </c>
      <c r="P3" s="42">
        <f t="shared" si="4"/>
        <v>4.444444444444445</v>
      </c>
      <c r="Q3" s="9">
        <f t="shared" si="5"/>
        <v>20</v>
      </c>
      <c r="R3" s="42">
        <f t="shared" si="6"/>
        <v>5</v>
      </c>
      <c r="S3" s="29">
        <f t="shared" si="7"/>
        <v>80</v>
      </c>
      <c r="T3" s="42">
        <f t="shared" si="8"/>
        <v>0</v>
      </c>
      <c r="U3" s="44">
        <f t="shared" si="9"/>
        <v>3</v>
      </c>
      <c r="V3" s="9">
        <f t="shared" si="10"/>
        <v>3</v>
      </c>
      <c r="W3" s="9">
        <f t="shared" si="11"/>
        <v>6</v>
      </c>
      <c r="X3" s="9">
        <f t="shared" si="12"/>
        <v>54</v>
      </c>
      <c r="Y3" s="9">
        <f t="shared" si="13"/>
        <v>0</v>
      </c>
      <c r="Z3">
        <f t="shared" si="14"/>
        <v>0</v>
      </c>
      <c r="AA3" s="2">
        <f t="shared" si="15"/>
        <v>1.5</v>
      </c>
      <c r="AB3" s="9" t="s">
        <v>1591</v>
      </c>
      <c r="AC3" s="9"/>
    </row>
    <row r="4" spans="1:29" ht="12.75">
      <c r="A4" s="9">
        <f t="shared" si="0"/>
        <v>210</v>
      </c>
      <c r="B4">
        <v>50</v>
      </c>
      <c r="C4" s="2">
        <f t="shared" si="1"/>
        <v>1.763698105255598</v>
      </c>
      <c r="D4" s="2">
        <f t="shared" si="2"/>
        <v>0.11023113157847488</v>
      </c>
      <c r="E4" s="11" t="s">
        <v>531</v>
      </c>
      <c r="F4" s="9">
        <v>50</v>
      </c>
      <c r="G4">
        <v>210</v>
      </c>
      <c r="H4">
        <v>7</v>
      </c>
      <c r="I4" s="10">
        <v>4.5</v>
      </c>
      <c r="J4">
        <v>2.5</v>
      </c>
      <c r="K4">
        <v>22</v>
      </c>
      <c r="L4">
        <v>13</v>
      </c>
      <c r="M4">
        <v>16</v>
      </c>
      <c r="N4" s="9">
        <v>0.5</v>
      </c>
      <c r="O4" s="2">
        <f t="shared" si="3"/>
        <v>4.2</v>
      </c>
      <c r="P4" s="29">
        <f t="shared" si="4"/>
        <v>30.476190476190474</v>
      </c>
      <c r="Q4" s="9">
        <f t="shared" si="5"/>
        <v>30</v>
      </c>
      <c r="R4" s="29">
        <f t="shared" si="6"/>
        <v>19.285714285714285</v>
      </c>
      <c r="S4" s="16">
        <f t="shared" si="7"/>
        <v>41.904761904761905</v>
      </c>
      <c r="T4" s="9">
        <f t="shared" si="8"/>
        <v>1</v>
      </c>
      <c r="U4" s="44">
        <f t="shared" si="9"/>
        <v>1</v>
      </c>
      <c r="V4" s="16">
        <f t="shared" si="10"/>
        <v>16</v>
      </c>
      <c r="W4" s="9">
        <f t="shared" si="11"/>
        <v>7</v>
      </c>
      <c r="X4" s="9">
        <f t="shared" si="12"/>
        <v>22</v>
      </c>
      <c r="Y4" s="16">
        <f t="shared" si="13"/>
        <v>0.5</v>
      </c>
      <c r="Z4">
        <f t="shared" si="14"/>
        <v>2.5</v>
      </c>
      <c r="AA4" s="2">
        <f t="shared" si="15"/>
        <v>4.5</v>
      </c>
      <c r="AB4" s="11" t="s">
        <v>532</v>
      </c>
      <c r="AC4" s="9"/>
    </row>
    <row r="5" spans="1:29" ht="12.75">
      <c r="A5" s="9">
        <f t="shared" si="0"/>
        <v>420</v>
      </c>
      <c r="B5">
        <f>150-50</f>
        <v>100</v>
      </c>
      <c r="C5" s="2">
        <f t="shared" si="1"/>
        <v>3.527396210511196</v>
      </c>
      <c r="D5" s="2">
        <f t="shared" si="2"/>
        <v>0.22046226315694975</v>
      </c>
      <c r="E5" s="11" t="s">
        <v>1321</v>
      </c>
      <c r="F5" s="9">
        <v>50</v>
      </c>
      <c r="G5">
        <v>210</v>
      </c>
      <c r="H5">
        <v>7</v>
      </c>
      <c r="I5" s="10">
        <v>4.5</v>
      </c>
      <c r="J5">
        <v>2.5</v>
      </c>
      <c r="K5">
        <v>21</v>
      </c>
      <c r="L5">
        <v>14</v>
      </c>
      <c r="M5">
        <v>15</v>
      </c>
      <c r="N5">
        <v>1</v>
      </c>
      <c r="O5" s="2">
        <f t="shared" si="3"/>
        <v>4.2</v>
      </c>
      <c r="P5" s="16">
        <f t="shared" si="4"/>
        <v>28.571428571428573</v>
      </c>
      <c r="Q5" s="9">
        <f t="shared" si="5"/>
        <v>30</v>
      </c>
      <c r="R5" s="29">
        <f t="shared" si="6"/>
        <v>19.285714285714285</v>
      </c>
      <c r="S5" s="16">
        <f t="shared" si="7"/>
        <v>40</v>
      </c>
      <c r="T5" s="9">
        <f t="shared" si="8"/>
        <v>2</v>
      </c>
      <c r="U5" s="44">
        <f t="shared" si="9"/>
        <v>2</v>
      </c>
      <c r="V5" s="16">
        <f t="shared" si="10"/>
        <v>30</v>
      </c>
      <c r="W5" s="9">
        <f t="shared" si="11"/>
        <v>14</v>
      </c>
      <c r="X5" s="9">
        <f t="shared" si="12"/>
        <v>42</v>
      </c>
      <c r="Y5" s="16">
        <f t="shared" si="13"/>
        <v>2</v>
      </c>
      <c r="Z5">
        <f t="shared" si="14"/>
        <v>5</v>
      </c>
      <c r="AA5" s="2">
        <f t="shared" si="15"/>
        <v>9</v>
      </c>
      <c r="AB5" s="11" t="s">
        <v>532</v>
      </c>
      <c r="AC5" s="9"/>
    </row>
    <row r="6" spans="1:29" ht="12.75">
      <c r="A6" s="9">
        <f t="shared" si="0"/>
        <v>630</v>
      </c>
      <c r="B6">
        <f>200-50</f>
        <v>150</v>
      </c>
      <c r="C6" s="2">
        <f t="shared" si="1"/>
        <v>5.291094315766794</v>
      </c>
      <c r="D6" s="2">
        <f t="shared" si="2"/>
        <v>0.33069339473542464</v>
      </c>
      <c r="E6" s="11" t="s">
        <v>517</v>
      </c>
      <c r="F6" s="9">
        <v>50</v>
      </c>
      <c r="G6">
        <v>210</v>
      </c>
      <c r="H6">
        <v>7</v>
      </c>
      <c r="I6" s="10">
        <v>2.5</v>
      </c>
      <c r="J6" s="6">
        <v>0</v>
      </c>
      <c r="K6" s="6">
        <v>23</v>
      </c>
      <c r="L6" s="6">
        <v>16</v>
      </c>
      <c r="M6" s="6">
        <v>15</v>
      </c>
      <c r="N6" s="6">
        <v>2</v>
      </c>
      <c r="O6" s="2">
        <f t="shared" si="3"/>
        <v>4.2</v>
      </c>
      <c r="P6" s="16">
        <f t="shared" si="4"/>
        <v>28.571428571428573</v>
      </c>
      <c r="Q6" s="9">
        <f t="shared" si="5"/>
        <v>30</v>
      </c>
      <c r="R6" s="16">
        <f t="shared" si="6"/>
        <v>10.714285714285714</v>
      </c>
      <c r="S6" s="16">
        <f t="shared" si="7"/>
        <v>43.80952380952381</v>
      </c>
      <c r="T6" s="42">
        <f t="shared" si="8"/>
        <v>4</v>
      </c>
      <c r="U6" s="44">
        <f t="shared" si="9"/>
        <v>3</v>
      </c>
      <c r="V6" s="9">
        <f t="shared" si="10"/>
        <v>45</v>
      </c>
      <c r="W6" s="9">
        <f t="shared" si="11"/>
        <v>21</v>
      </c>
      <c r="X6" s="9">
        <f t="shared" si="12"/>
        <v>69</v>
      </c>
      <c r="Y6" s="9">
        <f t="shared" si="13"/>
        <v>6</v>
      </c>
      <c r="Z6">
        <f t="shared" si="14"/>
        <v>0</v>
      </c>
      <c r="AA6" s="2">
        <f t="shared" si="15"/>
        <v>7.5</v>
      </c>
      <c r="AB6" s="9" t="s">
        <v>1468</v>
      </c>
      <c r="AC6" s="9"/>
    </row>
    <row r="7" spans="1:29" ht="12.75">
      <c r="A7" s="9">
        <f t="shared" si="0"/>
        <v>226.66666666666666</v>
      </c>
      <c r="B7">
        <v>40</v>
      </c>
      <c r="C7" s="2">
        <f t="shared" si="1"/>
        <v>1.4109584842044784</v>
      </c>
      <c r="D7" s="2">
        <f t="shared" si="2"/>
        <v>0.0881849052627799</v>
      </c>
      <c r="E7" s="11" t="s">
        <v>604</v>
      </c>
      <c r="F7" s="9">
        <v>30</v>
      </c>
      <c r="G7">
        <v>170</v>
      </c>
      <c r="H7">
        <v>15</v>
      </c>
      <c r="I7" s="10">
        <v>1</v>
      </c>
      <c r="J7">
        <v>0</v>
      </c>
      <c r="K7">
        <v>5</v>
      </c>
      <c r="L7">
        <v>1</v>
      </c>
      <c r="M7">
        <v>7</v>
      </c>
      <c r="N7">
        <v>4</v>
      </c>
      <c r="O7" s="2">
        <f t="shared" si="3"/>
        <v>5.666666666666667</v>
      </c>
      <c r="P7" s="9">
        <f t="shared" si="4"/>
        <v>16.470588235294116</v>
      </c>
      <c r="Q7" s="29">
        <f t="shared" si="5"/>
        <v>79.41176470588235</v>
      </c>
      <c r="R7" s="42">
        <f t="shared" si="6"/>
        <v>5.294117647058823</v>
      </c>
      <c r="S7" s="16">
        <f t="shared" si="7"/>
        <v>11.764705882352942</v>
      </c>
      <c r="T7" s="29">
        <f t="shared" si="8"/>
        <v>13.333333333333334</v>
      </c>
      <c r="U7" s="44">
        <f t="shared" si="9"/>
        <v>1.3333333333333333</v>
      </c>
      <c r="V7" s="9">
        <f t="shared" si="10"/>
        <v>9.333333333333332</v>
      </c>
      <c r="W7" s="9">
        <f t="shared" si="11"/>
        <v>20</v>
      </c>
      <c r="X7" s="9">
        <f t="shared" si="12"/>
        <v>6.666666666666666</v>
      </c>
      <c r="Y7" s="9">
        <f t="shared" si="13"/>
        <v>5.333333333333333</v>
      </c>
      <c r="Z7">
        <f t="shared" si="14"/>
        <v>0</v>
      </c>
      <c r="AA7" s="2">
        <f t="shared" si="15"/>
        <v>1.3333333333333333</v>
      </c>
      <c r="AB7" s="9" t="s">
        <v>527</v>
      </c>
      <c r="AC7" s="9"/>
    </row>
    <row r="8" spans="1:29" ht="12.75">
      <c r="A8" s="9">
        <f t="shared" si="0"/>
        <v>220</v>
      </c>
      <c r="B8">
        <v>56</v>
      </c>
      <c r="C8" s="2">
        <f t="shared" si="1"/>
        <v>1.97534187788627</v>
      </c>
      <c r="D8" s="2">
        <f t="shared" si="2"/>
        <v>0.12345886736789187</v>
      </c>
      <c r="E8" s="11" t="s">
        <v>606</v>
      </c>
      <c r="F8">
        <v>56</v>
      </c>
      <c r="G8">
        <v>220</v>
      </c>
      <c r="H8">
        <v>6</v>
      </c>
      <c r="I8" s="10">
        <v>4</v>
      </c>
      <c r="J8">
        <v>2.5</v>
      </c>
      <c r="K8">
        <v>34</v>
      </c>
      <c r="L8">
        <v>13</v>
      </c>
      <c r="M8">
        <v>8</v>
      </c>
      <c r="N8">
        <v>2</v>
      </c>
      <c r="O8" s="2">
        <f t="shared" si="3"/>
        <v>3.9285714285714284</v>
      </c>
      <c r="P8" s="16">
        <f t="shared" si="4"/>
        <v>14.545454545454545</v>
      </c>
      <c r="Q8" s="9">
        <f t="shared" si="5"/>
        <v>24.545454545454547</v>
      </c>
      <c r="R8" s="29">
        <f t="shared" si="6"/>
        <v>16.363636363636363</v>
      </c>
      <c r="S8" s="16">
        <f t="shared" si="7"/>
        <v>61.81818181818182</v>
      </c>
      <c r="T8" s="16">
        <f t="shared" si="8"/>
        <v>3.5714285714285716</v>
      </c>
      <c r="U8" s="44">
        <f t="shared" si="9"/>
        <v>1</v>
      </c>
      <c r="V8" s="16">
        <f t="shared" si="10"/>
        <v>8</v>
      </c>
      <c r="W8" s="9">
        <f t="shared" si="11"/>
        <v>6</v>
      </c>
      <c r="X8" s="9">
        <f t="shared" si="12"/>
        <v>34</v>
      </c>
      <c r="Y8" s="16">
        <f t="shared" si="13"/>
        <v>2</v>
      </c>
      <c r="Z8">
        <f t="shared" si="14"/>
        <v>2.5</v>
      </c>
      <c r="AA8" s="2">
        <f t="shared" si="15"/>
        <v>4</v>
      </c>
      <c r="AB8" s="11"/>
      <c r="AC8" s="9"/>
    </row>
    <row r="9" spans="1:29" ht="12.75">
      <c r="A9" s="9">
        <f t="shared" si="0"/>
        <v>420</v>
      </c>
      <c r="B9">
        <v>96</v>
      </c>
      <c r="C9" s="2">
        <f t="shared" si="1"/>
        <v>3.3863003620907484</v>
      </c>
      <c r="D9" s="2">
        <f t="shared" si="2"/>
        <v>0.21164377263067177</v>
      </c>
      <c r="E9" s="11" t="s">
        <v>1761</v>
      </c>
      <c r="F9">
        <v>48</v>
      </c>
      <c r="G9">
        <v>210</v>
      </c>
      <c r="H9">
        <v>9</v>
      </c>
      <c r="I9" s="10">
        <v>3</v>
      </c>
      <c r="J9">
        <v>17</v>
      </c>
      <c r="K9">
        <v>20</v>
      </c>
      <c r="L9">
        <v>1</v>
      </c>
      <c r="M9">
        <v>17</v>
      </c>
      <c r="N9">
        <v>6</v>
      </c>
      <c r="O9" s="2">
        <f t="shared" si="3"/>
        <v>4.375</v>
      </c>
      <c r="P9" s="29">
        <f t="shared" si="4"/>
        <v>32.38095238095238</v>
      </c>
      <c r="Q9" s="9">
        <f t="shared" si="5"/>
        <v>38.57142857142857</v>
      </c>
      <c r="R9" s="16">
        <f t="shared" si="6"/>
        <v>12.857142857142858</v>
      </c>
      <c r="S9" s="16">
        <f t="shared" si="7"/>
        <v>38.095238095238095</v>
      </c>
      <c r="T9" s="29">
        <f t="shared" si="8"/>
        <v>12.5</v>
      </c>
      <c r="U9" s="44">
        <f t="shared" si="9"/>
        <v>2</v>
      </c>
      <c r="V9" s="16">
        <f t="shared" si="10"/>
        <v>34</v>
      </c>
      <c r="W9" s="9">
        <f t="shared" si="11"/>
        <v>18</v>
      </c>
      <c r="X9" s="9">
        <f t="shared" si="12"/>
        <v>40</v>
      </c>
      <c r="Y9" s="16">
        <f t="shared" si="13"/>
        <v>12</v>
      </c>
      <c r="Z9">
        <f t="shared" si="14"/>
        <v>34</v>
      </c>
      <c r="AA9" s="2">
        <f t="shared" si="15"/>
        <v>6</v>
      </c>
      <c r="AB9" s="11" t="s">
        <v>607</v>
      </c>
      <c r="AC9" s="9"/>
    </row>
    <row r="10" spans="1:29" ht="12.75">
      <c r="A10" s="9">
        <f t="shared" si="0"/>
        <v>170</v>
      </c>
      <c r="B10">
        <f>90-45</f>
        <v>45</v>
      </c>
      <c r="C10" s="2">
        <f t="shared" si="1"/>
        <v>1.5873282947300382</v>
      </c>
      <c r="D10" s="2">
        <f t="shared" si="2"/>
        <v>0.09920801842062739</v>
      </c>
      <c r="E10" s="11" t="s">
        <v>1762</v>
      </c>
      <c r="F10">
        <v>45</v>
      </c>
      <c r="G10">
        <v>170</v>
      </c>
      <c r="H10">
        <v>5</v>
      </c>
      <c r="I10" s="10">
        <v>3.5</v>
      </c>
      <c r="J10">
        <v>0</v>
      </c>
      <c r="K10">
        <v>22</v>
      </c>
      <c r="L10">
        <v>8</v>
      </c>
      <c r="M10">
        <v>11</v>
      </c>
      <c r="N10">
        <v>5</v>
      </c>
      <c r="O10" s="2">
        <f t="shared" si="3"/>
        <v>3.7777777777777777</v>
      </c>
      <c r="P10" s="16">
        <f t="shared" si="4"/>
        <v>25.88235294117647</v>
      </c>
      <c r="Q10" s="9">
        <f t="shared" si="5"/>
        <v>26.470588235294116</v>
      </c>
      <c r="R10" s="16">
        <f t="shared" si="6"/>
        <v>18.529411764705884</v>
      </c>
      <c r="S10" s="16">
        <f t="shared" si="7"/>
        <v>51.76470588235294</v>
      </c>
      <c r="T10" s="16">
        <f t="shared" si="8"/>
        <v>11.11111111111111</v>
      </c>
      <c r="U10" s="44">
        <f t="shared" si="9"/>
        <v>1</v>
      </c>
      <c r="V10" s="16">
        <f t="shared" si="10"/>
        <v>11</v>
      </c>
      <c r="W10" s="9">
        <f t="shared" si="11"/>
        <v>5</v>
      </c>
      <c r="X10" s="9">
        <f t="shared" si="12"/>
        <v>22</v>
      </c>
      <c r="Y10" s="16">
        <f t="shared" si="13"/>
        <v>5</v>
      </c>
      <c r="Z10">
        <f t="shared" si="14"/>
        <v>0</v>
      </c>
      <c r="AA10" s="2">
        <f t="shared" si="15"/>
        <v>3.5</v>
      </c>
      <c r="AB10" s="11"/>
      <c r="AC10" s="9"/>
    </row>
    <row r="11" spans="1:29" ht="12.75">
      <c r="A11" s="9">
        <f t="shared" si="0"/>
        <v>440</v>
      </c>
      <c r="B11">
        <f>62*2</f>
        <v>124</v>
      </c>
      <c r="C11" s="2">
        <f t="shared" si="1"/>
        <v>4.373971301033883</v>
      </c>
      <c r="D11" s="2">
        <f t="shared" si="2"/>
        <v>0.2733732063146177</v>
      </c>
      <c r="E11" s="11" t="s">
        <v>1763</v>
      </c>
      <c r="F11">
        <v>62</v>
      </c>
      <c r="G11">
        <v>220</v>
      </c>
      <c r="H11">
        <v>4.5</v>
      </c>
      <c r="I11" s="10">
        <v>0.5</v>
      </c>
      <c r="J11">
        <v>0</v>
      </c>
      <c r="K11">
        <v>41</v>
      </c>
      <c r="L11">
        <v>20</v>
      </c>
      <c r="M11">
        <v>5</v>
      </c>
      <c r="N11">
        <v>5</v>
      </c>
      <c r="O11" s="2">
        <f t="shared" si="3"/>
        <v>3.5483870967741935</v>
      </c>
      <c r="P11" s="16">
        <f t="shared" si="4"/>
        <v>9.090909090909092</v>
      </c>
      <c r="Q11" s="9">
        <f t="shared" si="5"/>
        <v>18.40909090909091</v>
      </c>
      <c r="R11" s="16">
        <f t="shared" si="6"/>
        <v>2.0454545454545454</v>
      </c>
      <c r="S11" s="16">
        <f t="shared" si="7"/>
        <v>74.54545454545455</v>
      </c>
      <c r="T11" s="16">
        <f t="shared" si="8"/>
        <v>8.064516129032258</v>
      </c>
      <c r="U11" s="44">
        <f t="shared" si="9"/>
        <v>2</v>
      </c>
      <c r="V11" s="16">
        <f t="shared" si="10"/>
        <v>10</v>
      </c>
      <c r="W11" s="9">
        <f t="shared" si="11"/>
        <v>9</v>
      </c>
      <c r="X11" s="9">
        <f t="shared" si="12"/>
        <v>82</v>
      </c>
      <c r="Y11" s="16">
        <f t="shared" si="13"/>
        <v>10</v>
      </c>
      <c r="Z11">
        <f t="shared" si="14"/>
        <v>0</v>
      </c>
      <c r="AA11" s="2">
        <f t="shared" si="15"/>
        <v>1</v>
      </c>
      <c r="AB11" s="11"/>
      <c r="AC11" s="9"/>
    </row>
    <row r="12" spans="1:29" ht="12.75">
      <c r="A12" s="9">
        <f t="shared" si="0"/>
        <v>537.1428571428571</v>
      </c>
      <c r="B12">
        <f>78+97+91-78</f>
        <v>188</v>
      </c>
      <c r="C12" s="2">
        <f t="shared" si="1"/>
        <v>6.631504875761049</v>
      </c>
      <c r="D12" s="2">
        <f t="shared" si="2"/>
        <v>0.41446905473506557</v>
      </c>
      <c r="E12" s="11" t="s">
        <v>1672</v>
      </c>
      <c r="F12" s="9">
        <v>28</v>
      </c>
      <c r="G12">
        <v>80</v>
      </c>
      <c r="H12">
        <v>0.5</v>
      </c>
      <c r="I12" s="10">
        <v>0</v>
      </c>
      <c r="J12">
        <v>25</v>
      </c>
      <c r="K12">
        <v>5</v>
      </c>
      <c r="L12">
        <v>5</v>
      </c>
      <c r="M12">
        <v>13</v>
      </c>
      <c r="N12">
        <v>0</v>
      </c>
      <c r="O12" s="2">
        <f t="shared" si="3"/>
        <v>2.857142857142857</v>
      </c>
      <c r="P12" s="29">
        <f t="shared" si="4"/>
        <v>65</v>
      </c>
      <c r="Q12" s="9">
        <f t="shared" si="5"/>
        <v>5.625</v>
      </c>
      <c r="R12" s="16">
        <f t="shared" si="6"/>
        <v>0</v>
      </c>
      <c r="S12" s="16">
        <f t="shared" si="7"/>
        <v>25</v>
      </c>
      <c r="T12" s="42">
        <f t="shared" si="8"/>
        <v>0</v>
      </c>
      <c r="U12" s="44">
        <f t="shared" si="9"/>
        <v>6.714285714285714</v>
      </c>
      <c r="V12" s="9">
        <f t="shared" si="10"/>
        <v>87.28571428571429</v>
      </c>
      <c r="W12" s="9">
        <f t="shared" si="11"/>
        <v>3.357142857142857</v>
      </c>
      <c r="X12" s="9">
        <f t="shared" si="12"/>
        <v>33.57142857142857</v>
      </c>
      <c r="Y12" s="9">
        <f t="shared" si="13"/>
        <v>0</v>
      </c>
      <c r="Z12" s="9">
        <f t="shared" si="14"/>
        <v>167.85714285714286</v>
      </c>
      <c r="AA12" s="2">
        <f t="shared" si="15"/>
        <v>0</v>
      </c>
      <c r="AB12" s="9" t="s">
        <v>1345</v>
      </c>
      <c r="AC12" s="9"/>
    </row>
    <row r="13" spans="1:29" ht="12.75">
      <c r="A13" s="9">
        <f t="shared" si="0"/>
        <v>362.85714285714283</v>
      </c>
      <c r="B13">
        <v>127</v>
      </c>
      <c r="C13" s="2">
        <f t="shared" si="1"/>
        <v>4.479793187349219</v>
      </c>
      <c r="D13" s="2">
        <f t="shared" si="2"/>
        <v>0.27998707420932617</v>
      </c>
      <c r="E13" s="11" t="s">
        <v>1674</v>
      </c>
      <c r="F13" s="9">
        <v>28</v>
      </c>
      <c r="G13">
        <v>80</v>
      </c>
      <c r="H13">
        <v>0.5</v>
      </c>
      <c r="I13" s="10">
        <v>0</v>
      </c>
      <c r="J13">
        <v>30</v>
      </c>
      <c r="K13">
        <v>7</v>
      </c>
      <c r="L13">
        <v>5</v>
      </c>
      <c r="M13">
        <v>12</v>
      </c>
      <c r="N13">
        <v>0</v>
      </c>
      <c r="O13" s="2">
        <f t="shared" si="3"/>
        <v>2.857142857142857</v>
      </c>
      <c r="P13" s="29">
        <f t="shared" si="4"/>
        <v>60</v>
      </c>
      <c r="Q13" s="9">
        <f t="shared" si="5"/>
        <v>5.625</v>
      </c>
      <c r="R13" s="16">
        <f t="shared" si="6"/>
        <v>0</v>
      </c>
      <c r="S13" s="16">
        <f t="shared" si="7"/>
        <v>35</v>
      </c>
      <c r="T13" s="42">
        <f t="shared" si="8"/>
        <v>0</v>
      </c>
      <c r="U13" s="44">
        <f t="shared" si="9"/>
        <v>4.535714285714286</v>
      </c>
      <c r="V13" s="9">
        <f t="shared" si="10"/>
        <v>54.42857142857143</v>
      </c>
      <c r="W13" s="9">
        <f t="shared" si="11"/>
        <v>2.267857142857143</v>
      </c>
      <c r="X13" s="9">
        <f t="shared" si="12"/>
        <v>31.75</v>
      </c>
      <c r="Y13" s="9">
        <f t="shared" si="13"/>
        <v>0</v>
      </c>
      <c r="Z13">
        <f t="shared" si="14"/>
        <v>136.07142857142856</v>
      </c>
      <c r="AA13" s="2">
        <f t="shared" si="15"/>
        <v>0</v>
      </c>
      <c r="AB13" s="9"/>
      <c r="AC13" s="9"/>
    </row>
    <row r="14" spans="1:29" ht="12.75">
      <c r="A14" s="9">
        <f t="shared" si="0"/>
        <v>663.2</v>
      </c>
      <c r="B14">
        <f>234-(4*2.3)-59</f>
        <v>165.8</v>
      </c>
      <c r="C14" s="2">
        <f t="shared" si="1"/>
        <v>5.8484229170275635</v>
      </c>
      <c r="D14" s="2">
        <f t="shared" si="2"/>
        <v>0.3655264323142227</v>
      </c>
      <c r="E14" s="11" t="s">
        <v>1678</v>
      </c>
      <c r="F14" s="9">
        <v>15</v>
      </c>
      <c r="G14">
        <v>60</v>
      </c>
      <c r="H14">
        <v>0</v>
      </c>
      <c r="I14" s="10">
        <v>0</v>
      </c>
      <c r="J14" s="6">
        <v>0</v>
      </c>
      <c r="K14" s="6">
        <v>14</v>
      </c>
      <c r="L14" s="6">
        <v>12</v>
      </c>
      <c r="M14" s="6">
        <v>0</v>
      </c>
      <c r="N14" s="6">
        <v>0</v>
      </c>
      <c r="O14" s="2">
        <f t="shared" si="3"/>
        <v>4</v>
      </c>
      <c r="P14" s="42">
        <f t="shared" si="4"/>
        <v>0</v>
      </c>
      <c r="Q14" s="9">
        <f t="shared" si="5"/>
        <v>0</v>
      </c>
      <c r="R14" s="42">
        <f t="shared" si="6"/>
        <v>0</v>
      </c>
      <c r="S14" s="29">
        <f t="shared" si="7"/>
        <v>93.33333333333333</v>
      </c>
      <c r="T14" s="42">
        <f t="shared" si="8"/>
        <v>0</v>
      </c>
      <c r="U14" s="44">
        <f t="shared" si="9"/>
        <v>11.053333333333335</v>
      </c>
      <c r="V14" s="16">
        <f t="shared" si="10"/>
        <v>0</v>
      </c>
      <c r="W14" s="9">
        <f t="shared" si="11"/>
        <v>0</v>
      </c>
      <c r="X14" s="9">
        <f t="shared" si="12"/>
        <v>154.74666666666667</v>
      </c>
      <c r="Y14" s="9">
        <f t="shared" si="13"/>
        <v>0</v>
      </c>
      <c r="Z14">
        <f t="shared" si="14"/>
        <v>0</v>
      </c>
      <c r="AA14" s="2">
        <f t="shared" si="15"/>
        <v>0</v>
      </c>
      <c r="AB14" s="9" t="s">
        <v>2062</v>
      </c>
      <c r="AC14" s="9"/>
    </row>
    <row r="15" spans="1:29" ht="12.75">
      <c r="A15" s="9">
        <f t="shared" si="0"/>
        <v>464.25000000000006</v>
      </c>
      <c r="B15">
        <f>178-(4*2.3)-45</f>
        <v>123.80000000000001</v>
      </c>
      <c r="C15" s="2">
        <f t="shared" si="1"/>
        <v>4.366916508612861</v>
      </c>
      <c r="D15" s="2">
        <f t="shared" si="2"/>
        <v>0.2729322817883038</v>
      </c>
      <c r="E15" s="11" t="s">
        <v>870</v>
      </c>
      <c r="F15" s="9">
        <v>16</v>
      </c>
      <c r="G15">
        <v>60</v>
      </c>
      <c r="H15">
        <v>0</v>
      </c>
      <c r="I15" s="10">
        <v>0</v>
      </c>
      <c r="J15" s="6">
        <v>0</v>
      </c>
      <c r="K15" s="6">
        <v>16</v>
      </c>
      <c r="L15" s="6">
        <v>10</v>
      </c>
      <c r="M15" s="6">
        <v>0</v>
      </c>
      <c r="N15" s="6">
        <v>0</v>
      </c>
      <c r="O15" s="2">
        <f t="shared" si="3"/>
        <v>3.75</v>
      </c>
      <c r="P15" s="42">
        <f t="shared" si="4"/>
        <v>0</v>
      </c>
      <c r="Q15" s="9">
        <f t="shared" si="5"/>
        <v>0</v>
      </c>
      <c r="R15" s="42">
        <f t="shared" si="6"/>
        <v>0</v>
      </c>
      <c r="S15" s="29">
        <f t="shared" si="7"/>
        <v>106.66666666666667</v>
      </c>
      <c r="T15" s="42">
        <f t="shared" si="8"/>
        <v>0</v>
      </c>
      <c r="U15" s="44">
        <f t="shared" si="9"/>
        <v>7.737500000000001</v>
      </c>
      <c r="V15" s="16">
        <f t="shared" si="10"/>
        <v>0</v>
      </c>
      <c r="W15" s="9">
        <f t="shared" si="11"/>
        <v>0</v>
      </c>
      <c r="X15" s="9">
        <f t="shared" si="12"/>
        <v>123.80000000000001</v>
      </c>
      <c r="Y15" s="9">
        <f t="shared" si="13"/>
        <v>0</v>
      </c>
      <c r="Z15">
        <f t="shared" si="14"/>
        <v>0</v>
      </c>
      <c r="AA15" s="2">
        <f t="shared" si="15"/>
        <v>0</v>
      </c>
      <c r="AB15" s="9" t="s">
        <v>2062</v>
      </c>
      <c r="AC15" s="9"/>
    </row>
    <row r="16" spans="1:29" ht="12.75">
      <c r="A16" s="9">
        <v>240</v>
      </c>
      <c r="B16">
        <f>1041-51</f>
        <v>990</v>
      </c>
      <c r="C16" s="2">
        <f t="shared" si="1"/>
        <v>34.92122248406084</v>
      </c>
      <c r="D16" s="2">
        <f t="shared" si="2"/>
        <v>2.1825764052538026</v>
      </c>
      <c r="E16" s="11" t="s">
        <v>434</v>
      </c>
      <c r="G16" s="6"/>
      <c r="I16" s="10"/>
      <c r="O16" s="2"/>
      <c r="P16" s="42"/>
      <c r="Q16" s="29"/>
      <c r="R16" s="29"/>
      <c r="S16" s="16"/>
      <c r="T16" s="9"/>
      <c r="U16" s="44"/>
      <c r="V16" s="9">
        <v>0</v>
      </c>
      <c r="W16" s="9">
        <v>0</v>
      </c>
      <c r="X16" s="9">
        <v>127.2</v>
      </c>
      <c r="Y16" s="9">
        <v>0</v>
      </c>
      <c r="Z16" s="9">
        <v>0</v>
      </c>
      <c r="AA16" s="2">
        <v>0</v>
      </c>
      <c r="AC16" s="9"/>
    </row>
    <row r="17" spans="1:29" ht="12.75">
      <c r="A17" s="9">
        <f aca="true" t="shared" si="16" ref="A17:A24">G17*U17</f>
        <v>656.25</v>
      </c>
      <c r="B17">
        <f>86+89</f>
        <v>175</v>
      </c>
      <c r="C17" s="2">
        <f t="shared" si="1"/>
        <v>6.172943368394593</v>
      </c>
      <c r="D17" s="2">
        <f t="shared" si="2"/>
        <v>0.38580896052466207</v>
      </c>
      <c r="E17" s="11" t="s">
        <v>395</v>
      </c>
      <c r="F17" s="9">
        <v>16</v>
      </c>
      <c r="G17">
        <v>60</v>
      </c>
      <c r="H17">
        <v>0</v>
      </c>
      <c r="I17" s="10">
        <v>0</v>
      </c>
      <c r="J17" s="6">
        <v>0</v>
      </c>
      <c r="K17" s="6">
        <v>15.9</v>
      </c>
      <c r="L17" s="6">
        <v>15</v>
      </c>
      <c r="M17" s="6">
        <v>0</v>
      </c>
      <c r="N17" s="6">
        <v>0</v>
      </c>
      <c r="O17" s="2">
        <f aca="true" t="shared" si="17" ref="O17:O24">G17/F17</f>
        <v>3.75</v>
      </c>
      <c r="P17" s="42">
        <f aca="true" t="shared" si="18" ref="P17:P24">100*4*M17/G17</f>
        <v>0</v>
      </c>
      <c r="Q17" s="9">
        <f aca="true" t="shared" si="19" ref="Q17:Q24">100*9*H17/G17</f>
        <v>0</v>
      </c>
      <c r="R17" s="42">
        <f aca="true" t="shared" si="20" ref="R17:R24">100*(I17*9)/G17</f>
        <v>0</v>
      </c>
      <c r="S17" s="29">
        <f aca="true" t="shared" si="21" ref="S17:S24">100*K17*4/G17</f>
        <v>106</v>
      </c>
      <c r="T17" s="42">
        <f aca="true" t="shared" si="22" ref="T17:T24">100*N17/F17</f>
        <v>0</v>
      </c>
      <c r="U17" s="44">
        <f aca="true" t="shared" si="23" ref="U17:U24">B17/F17</f>
        <v>10.9375</v>
      </c>
      <c r="V17" s="16">
        <f aca="true" t="shared" si="24" ref="V17:V24">U17*M17</f>
        <v>0</v>
      </c>
      <c r="W17" s="9">
        <f aca="true" t="shared" si="25" ref="W17:W24">U17*H17</f>
        <v>0</v>
      </c>
      <c r="X17" s="141">
        <f aca="true" t="shared" si="26" ref="X17:X24">U17*K17</f>
        <v>173.90625</v>
      </c>
      <c r="Y17" s="9">
        <f aca="true" t="shared" si="27" ref="Y17:Y24">N17*U17</f>
        <v>0</v>
      </c>
      <c r="Z17">
        <f aca="true" t="shared" si="28" ref="Z17:Z24">U17*J17</f>
        <v>0</v>
      </c>
      <c r="AA17" s="2">
        <f aca="true" t="shared" si="29" ref="AA17:AA24">I17*U17</f>
        <v>0</v>
      </c>
      <c r="AB17" s="9" t="s">
        <v>249</v>
      </c>
      <c r="AC17" s="9"/>
    </row>
    <row r="18" spans="1:29" ht="12.75">
      <c r="A18" s="9">
        <f t="shared" si="16"/>
        <v>342.3529411764706</v>
      </c>
      <c r="B18">
        <f>97+87-87</f>
        <v>97</v>
      </c>
      <c r="C18" s="2">
        <f t="shared" si="1"/>
        <v>3.42157432419586</v>
      </c>
      <c r="D18" s="2">
        <f t="shared" si="2"/>
        <v>0.21384839526224125</v>
      </c>
      <c r="E18" s="11" t="s">
        <v>1628</v>
      </c>
      <c r="F18" s="9">
        <v>17</v>
      </c>
      <c r="G18">
        <v>60</v>
      </c>
      <c r="H18">
        <v>0</v>
      </c>
      <c r="I18" s="10">
        <v>0</v>
      </c>
      <c r="J18" s="6">
        <v>0</v>
      </c>
      <c r="K18" s="6">
        <v>15.9</v>
      </c>
      <c r="L18" s="6">
        <v>16</v>
      </c>
      <c r="M18" s="6">
        <v>0</v>
      </c>
      <c r="N18" s="6">
        <v>0</v>
      </c>
      <c r="O18" s="2">
        <f t="shared" si="17"/>
        <v>3.5294117647058822</v>
      </c>
      <c r="P18" s="42">
        <f t="shared" si="18"/>
        <v>0</v>
      </c>
      <c r="Q18" s="9">
        <f t="shared" si="19"/>
        <v>0</v>
      </c>
      <c r="R18" s="42">
        <f t="shared" si="20"/>
        <v>0</v>
      </c>
      <c r="S18" s="29">
        <f t="shared" si="21"/>
        <v>106</v>
      </c>
      <c r="T18" s="42">
        <f t="shared" si="22"/>
        <v>0</v>
      </c>
      <c r="U18" s="44">
        <f t="shared" si="23"/>
        <v>5.705882352941177</v>
      </c>
      <c r="V18" s="16">
        <f t="shared" si="24"/>
        <v>0</v>
      </c>
      <c r="W18" s="9">
        <f t="shared" si="25"/>
        <v>0</v>
      </c>
      <c r="X18" s="141">
        <f t="shared" si="26"/>
        <v>90.72352941176472</v>
      </c>
      <c r="Y18" s="9">
        <f t="shared" si="27"/>
        <v>0</v>
      </c>
      <c r="Z18">
        <f t="shared" si="28"/>
        <v>0</v>
      </c>
      <c r="AA18" s="2">
        <f t="shared" si="29"/>
        <v>0</v>
      </c>
      <c r="AB18" s="9" t="s">
        <v>249</v>
      </c>
      <c r="AC18" s="9"/>
    </row>
    <row r="19" spans="1:29" ht="12.75">
      <c r="A19" s="9">
        <f t="shared" si="16"/>
        <v>190</v>
      </c>
      <c r="B19">
        <v>30</v>
      </c>
      <c r="C19" s="2">
        <f t="shared" si="1"/>
        <v>1.058218863153359</v>
      </c>
      <c r="D19" s="2">
        <f t="shared" si="2"/>
        <v>0.06613867894708493</v>
      </c>
      <c r="E19" s="11" t="s">
        <v>1848</v>
      </c>
      <c r="F19" s="9">
        <v>30</v>
      </c>
      <c r="G19">
        <v>190</v>
      </c>
      <c r="H19">
        <v>15</v>
      </c>
      <c r="I19" s="10">
        <v>4</v>
      </c>
      <c r="J19">
        <v>0</v>
      </c>
      <c r="K19">
        <v>9</v>
      </c>
      <c r="L19">
        <v>1</v>
      </c>
      <c r="M19">
        <v>4</v>
      </c>
      <c r="N19">
        <v>4</v>
      </c>
      <c r="O19" s="32">
        <f t="shared" si="17"/>
        <v>6.333333333333333</v>
      </c>
      <c r="P19" s="42">
        <f t="shared" si="18"/>
        <v>8.421052631578947</v>
      </c>
      <c r="Q19" s="29">
        <f t="shared" si="19"/>
        <v>71.05263157894737</v>
      </c>
      <c r="R19" s="29">
        <f t="shared" si="20"/>
        <v>18.94736842105263</v>
      </c>
      <c r="S19" s="16">
        <f t="shared" si="21"/>
        <v>18.94736842105263</v>
      </c>
      <c r="T19" s="29">
        <f t="shared" si="22"/>
        <v>13.333333333333334</v>
      </c>
      <c r="U19" s="44">
        <f t="shared" si="23"/>
        <v>1</v>
      </c>
      <c r="V19" s="9">
        <f t="shared" si="24"/>
        <v>4</v>
      </c>
      <c r="W19" s="9">
        <f t="shared" si="25"/>
        <v>15</v>
      </c>
      <c r="X19" s="9">
        <f t="shared" si="26"/>
        <v>9</v>
      </c>
      <c r="Y19" s="9">
        <f t="shared" si="27"/>
        <v>4</v>
      </c>
      <c r="Z19">
        <f t="shared" si="28"/>
        <v>0</v>
      </c>
      <c r="AA19" s="2">
        <f t="shared" si="29"/>
        <v>4</v>
      </c>
      <c r="AB19" s="9" t="s">
        <v>1593</v>
      </c>
      <c r="AC19" s="9"/>
    </row>
    <row r="20" spans="1:30" s="151" customFormat="1" ht="12.75">
      <c r="A20" s="161">
        <f t="shared" si="16"/>
        <v>1177.2</v>
      </c>
      <c r="B20" s="162">
        <f>274-(2.7*4)-67</f>
        <v>196.2</v>
      </c>
      <c r="C20" s="163">
        <f t="shared" si="1"/>
        <v>6.920751365022967</v>
      </c>
      <c r="D20" s="163">
        <f t="shared" si="2"/>
        <v>0.4325469603139354</v>
      </c>
      <c r="E20" s="164" t="s">
        <v>564</v>
      </c>
      <c r="F20" s="161">
        <v>30</v>
      </c>
      <c r="G20" s="162">
        <v>180</v>
      </c>
      <c r="H20" s="162">
        <v>13</v>
      </c>
      <c r="I20" s="163">
        <v>1.5</v>
      </c>
      <c r="J20" s="162">
        <v>0</v>
      </c>
      <c r="K20" s="162">
        <v>9</v>
      </c>
      <c r="L20" s="162">
        <v>2</v>
      </c>
      <c r="M20" s="162">
        <v>6</v>
      </c>
      <c r="N20" s="162">
        <v>3</v>
      </c>
      <c r="O20" s="165">
        <f t="shared" si="17"/>
        <v>6</v>
      </c>
      <c r="P20" s="161">
        <f t="shared" si="18"/>
        <v>13.333333333333334</v>
      </c>
      <c r="Q20" s="161">
        <f t="shared" si="19"/>
        <v>65</v>
      </c>
      <c r="R20" s="161">
        <f t="shared" si="20"/>
        <v>7.5</v>
      </c>
      <c r="S20" s="161">
        <f t="shared" si="21"/>
        <v>20</v>
      </c>
      <c r="T20" s="167">
        <f t="shared" si="22"/>
        <v>10</v>
      </c>
      <c r="U20" s="168">
        <f t="shared" si="23"/>
        <v>6.54</v>
      </c>
      <c r="V20" s="161">
        <f t="shared" si="24"/>
        <v>39.24</v>
      </c>
      <c r="W20" s="161">
        <f t="shared" si="25"/>
        <v>85.02</v>
      </c>
      <c r="X20" s="161">
        <f t="shared" si="26"/>
        <v>58.86</v>
      </c>
      <c r="Y20" s="161">
        <f t="shared" si="27"/>
        <v>19.62</v>
      </c>
      <c r="Z20" s="161">
        <f t="shared" si="28"/>
        <v>0</v>
      </c>
      <c r="AA20" s="163">
        <f t="shared" si="29"/>
        <v>9.81</v>
      </c>
      <c r="AB20" s="161" t="s">
        <v>570</v>
      </c>
      <c r="AC20" s="161"/>
      <c r="AD20" s="162"/>
    </row>
    <row r="21" spans="1:28" ht="12.75">
      <c r="A21" s="9">
        <f t="shared" si="16"/>
        <v>1910.3225806451615</v>
      </c>
      <c r="B21" s="12">
        <f>329*0.75</f>
        <v>246.75</v>
      </c>
      <c r="C21" s="2">
        <f t="shared" si="1"/>
        <v>8.703850149436377</v>
      </c>
      <c r="D21" s="2">
        <f t="shared" si="2"/>
        <v>0.5439906343397736</v>
      </c>
      <c r="E21" s="11" t="s">
        <v>539</v>
      </c>
      <c r="F21" s="9">
        <v>31</v>
      </c>
      <c r="G21">
        <v>240</v>
      </c>
      <c r="H21">
        <v>23</v>
      </c>
      <c r="I21" s="10">
        <v>3.5</v>
      </c>
      <c r="J21">
        <v>0</v>
      </c>
      <c r="K21">
        <v>4</v>
      </c>
      <c r="L21">
        <v>1</v>
      </c>
      <c r="M21">
        <v>2</v>
      </c>
      <c r="N21">
        <v>2</v>
      </c>
      <c r="O21" s="32">
        <f t="shared" si="17"/>
        <v>7.741935483870968</v>
      </c>
      <c r="P21" s="42">
        <f t="shared" si="18"/>
        <v>3.3333333333333335</v>
      </c>
      <c r="Q21" s="29">
        <f t="shared" si="19"/>
        <v>86.25</v>
      </c>
      <c r="R21" s="16">
        <f t="shared" si="20"/>
        <v>13.125</v>
      </c>
      <c r="S21" s="16">
        <f t="shared" si="21"/>
        <v>6.666666666666667</v>
      </c>
      <c r="T21" s="9">
        <f t="shared" si="22"/>
        <v>6.451612903225806</v>
      </c>
      <c r="U21" s="44">
        <f t="shared" si="23"/>
        <v>7.959677419354839</v>
      </c>
      <c r="V21" s="9">
        <f t="shared" si="24"/>
        <v>15.919354838709678</v>
      </c>
      <c r="W21" s="9">
        <f t="shared" si="25"/>
        <v>183.0725806451613</v>
      </c>
      <c r="X21" s="9">
        <f t="shared" si="26"/>
        <v>31.838709677419356</v>
      </c>
      <c r="Y21" s="9">
        <f t="shared" si="27"/>
        <v>15.919354838709678</v>
      </c>
      <c r="Z21">
        <f t="shared" si="28"/>
        <v>0</v>
      </c>
      <c r="AA21" s="2">
        <f t="shared" si="29"/>
        <v>27.858870967741936</v>
      </c>
      <c r="AB21" t="s">
        <v>1594</v>
      </c>
    </row>
    <row r="22" spans="1:29" ht="12.75">
      <c r="A22" s="9">
        <f t="shared" si="16"/>
        <v>449.95464166918657</v>
      </c>
      <c r="B22">
        <v>99.2</v>
      </c>
      <c r="C22" s="2">
        <f t="shared" si="1"/>
        <v>3.4991770408271066</v>
      </c>
      <c r="D22" s="2">
        <f t="shared" si="2"/>
        <v>0.21869856505169416</v>
      </c>
      <c r="E22" s="11" t="s">
        <v>397</v>
      </c>
      <c r="F22">
        <v>33.07</v>
      </c>
      <c r="G22" s="6">
        <v>150</v>
      </c>
      <c r="H22">
        <v>7</v>
      </c>
      <c r="I22" s="10">
        <v>4</v>
      </c>
      <c r="J22">
        <v>0</v>
      </c>
      <c r="K22">
        <v>22</v>
      </c>
      <c r="L22">
        <v>18</v>
      </c>
      <c r="M22">
        <v>2</v>
      </c>
      <c r="N22">
        <v>2</v>
      </c>
      <c r="O22" s="2">
        <f t="shared" si="17"/>
        <v>4.535833081342607</v>
      </c>
      <c r="P22" s="42">
        <f t="shared" si="18"/>
        <v>5.333333333333333</v>
      </c>
      <c r="Q22" s="29">
        <f t="shared" si="19"/>
        <v>42</v>
      </c>
      <c r="R22" s="29">
        <f t="shared" si="20"/>
        <v>24</v>
      </c>
      <c r="S22" s="16">
        <f t="shared" si="21"/>
        <v>58.666666666666664</v>
      </c>
      <c r="T22" s="9">
        <f t="shared" si="22"/>
        <v>6.047777441790142</v>
      </c>
      <c r="U22" s="44">
        <f t="shared" si="23"/>
        <v>2.9996976111279103</v>
      </c>
      <c r="V22" s="9">
        <f t="shared" si="24"/>
        <v>5.999395222255821</v>
      </c>
      <c r="W22" s="9">
        <f t="shared" si="25"/>
        <v>20.997883277895372</v>
      </c>
      <c r="X22" s="9">
        <f t="shared" si="26"/>
        <v>65.99334744481402</v>
      </c>
      <c r="Y22" s="9">
        <f t="shared" si="27"/>
        <v>5.999395222255821</v>
      </c>
      <c r="Z22">
        <f t="shared" si="28"/>
        <v>0</v>
      </c>
      <c r="AA22" s="2">
        <f t="shared" si="29"/>
        <v>11.998790444511641</v>
      </c>
      <c r="AB22" t="s">
        <v>398</v>
      </c>
      <c r="AC22" s="9"/>
    </row>
    <row r="23" spans="1:29" ht="12.75">
      <c r="A23" s="9">
        <f t="shared" si="16"/>
        <v>480</v>
      </c>
      <c r="B23">
        <v>100</v>
      </c>
      <c r="C23" s="2">
        <f t="shared" si="1"/>
        <v>3.527396210511196</v>
      </c>
      <c r="D23" s="2">
        <f t="shared" si="2"/>
        <v>0.22046226315694975</v>
      </c>
      <c r="E23" s="11" t="s">
        <v>396</v>
      </c>
      <c r="F23">
        <v>37.5</v>
      </c>
      <c r="G23" s="6">
        <v>180</v>
      </c>
      <c r="H23">
        <v>10</v>
      </c>
      <c r="I23" s="10">
        <v>6</v>
      </c>
      <c r="J23">
        <v>5</v>
      </c>
      <c r="K23">
        <v>21</v>
      </c>
      <c r="L23">
        <v>19</v>
      </c>
      <c r="M23">
        <v>2</v>
      </c>
      <c r="N23">
        <v>2</v>
      </c>
      <c r="O23" s="2">
        <f t="shared" si="17"/>
        <v>4.8</v>
      </c>
      <c r="P23" s="42">
        <f t="shared" si="18"/>
        <v>4.444444444444445</v>
      </c>
      <c r="Q23" s="29">
        <f t="shared" si="19"/>
        <v>50</v>
      </c>
      <c r="R23" s="29">
        <f t="shared" si="20"/>
        <v>30</v>
      </c>
      <c r="S23" s="16">
        <f t="shared" si="21"/>
        <v>46.666666666666664</v>
      </c>
      <c r="T23" s="9">
        <f t="shared" si="22"/>
        <v>5.333333333333333</v>
      </c>
      <c r="U23" s="44">
        <f t="shared" si="23"/>
        <v>2.6666666666666665</v>
      </c>
      <c r="V23" s="9">
        <f t="shared" si="24"/>
        <v>5.333333333333333</v>
      </c>
      <c r="W23" s="9">
        <f t="shared" si="25"/>
        <v>26.666666666666664</v>
      </c>
      <c r="X23" s="9">
        <f t="shared" si="26"/>
        <v>56</v>
      </c>
      <c r="Y23" s="9">
        <f t="shared" si="27"/>
        <v>5.333333333333333</v>
      </c>
      <c r="Z23">
        <f t="shared" si="28"/>
        <v>13.333333333333332</v>
      </c>
      <c r="AA23" s="2">
        <f t="shared" si="29"/>
        <v>16</v>
      </c>
      <c r="AB23" t="s">
        <v>1592</v>
      </c>
      <c r="AC23" s="9"/>
    </row>
    <row r="24" spans="1:29" ht="12.75">
      <c r="A24">
        <f t="shared" si="16"/>
        <v>1675.7142857142858</v>
      </c>
      <c r="B24">
        <f>368*0.75</f>
        <v>276</v>
      </c>
      <c r="C24" s="2">
        <f t="shared" si="1"/>
        <v>9.7356135410109</v>
      </c>
      <c r="D24" s="2">
        <f t="shared" si="2"/>
        <v>0.6084758463131813</v>
      </c>
      <c r="E24" s="11" t="s">
        <v>1845</v>
      </c>
      <c r="F24" s="9">
        <v>28</v>
      </c>
      <c r="G24">
        <v>170</v>
      </c>
      <c r="H24">
        <v>13</v>
      </c>
      <c r="I24" s="2">
        <v>3</v>
      </c>
      <c r="J24">
        <v>0</v>
      </c>
      <c r="K24">
        <v>9</v>
      </c>
      <c r="L24">
        <v>2</v>
      </c>
      <c r="M24">
        <v>5</v>
      </c>
      <c r="N24">
        <v>1</v>
      </c>
      <c r="O24" s="32">
        <f t="shared" si="17"/>
        <v>6.071428571428571</v>
      </c>
      <c r="P24" s="9">
        <f t="shared" si="18"/>
        <v>11.764705882352942</v>
      </c>
      <c r="Q24" s="9">
        <f t="shared" si="19"/>
        <v>68.82352941176471</v>
      </c>
      <c r="R24" s="29">
        <f t="shared" si="20"/>
        <v>15.882352941176471</v>
      </c>
      <c r="S24" s="16">
        <f t="shared" si="21"/>
        <v>21.176470588235293</v>
      </c>
      <c r="T24" s="9">
        <f t="shared" si="22"/>
        <v>3.5714285714285716</v>
      </c>
      <c r="U24" s="44">
        <f t="shared" si="23"/>
        <v>9.857142857142858</v>
      </c>
      <c r="V24" s="9">
        <f t="shared" si="24"/>
        <v>49.28571428571429</v>
      </c>
      <c r="W24" s="9">
        <f t="shared" si="25"/>
        <v>128.14285714285714</v>
      </c>
      <c r="X24" s="9">
        <f t="shared" si="26"/>
        <v>88.71428571428572</v>
      </c>
      <c r="Y24" s="9">
        <f t="shared" si="27"/>
        <v>9.857142857142858</v>
      </c>
      <c r="Z24">
        <f t="shared" si="28"/>
        <v>0</v>
      </c>
      <c r="AA24" s="2">
        <f t="shared" si="29"/>
        <v>29.571428571428573</v>
      </c>
      <c r="AB24" s="9" t="s">
        <v>528</v>
      </c>
      <c r="AC24" s="9"/>
    </row>
    <row r="25" spans="1:27" ht="12.75">
      <c r="A25" s="9">
        <f>SUM(A2:A24)</f>
        <v>12575.911115871771</v>
      </c>
      <c r="B25" s="9">
        <f>SUM(B2:B24)</f>
        <v>3646.7499999999995</v>
      </c>
      <c r="C25" s="9">
        <f t="shared" si="1"/>
        <v>128.63532130681702</v>
      </c>
      <c r="D25" s="2">
        <f t="shared" si="2"/>
        <v>8.039707581676064</v>
      </c>
      <c r="E25" s="11" t="s">
        <v>1507</v>
      </c>
      <c r="J25" s="3"/>
      <c r="K25" s="3"/>
      <c r="L25" s="3"/>
      <c r="M25" s="9"/>
      <c r="O25" s="3"/>
      <c r="V25" s="144">
        <f aca="true" t="shared" si="30" ref="V25:AA25">SUM(V2:V24)</f>
        <v>436.82541672763216</v>
      </c>
      <c r="W25" s="144">
        <f t="shared" si="30"/>
        <v>582.5249877325805</v>
      </c>
      <c r="X25" s="144">
        <f t="shared" si="30"/>
        <v>1489.7708841530455</v>
      </c>
      <c r="Y25" s="9">
        <f t="shared" si="30"/>
        <v>109.56255958477503</v>
      </c>
      <c r="Z25" s="144">
        <f t="shared" si="30"/>
        <v>361.26190476190476</v>
      </c>
      <c r="AA25" s="9">
        <f t="shared" si="30"/>
        <v>139.07242331701548</v>
      </c>
    </row>
    <row r="26" spans="3:28" ht="12.75">
      <c r="C26" s="2"/>
      <c r="D26" s="2"/>
      <c r="E26" s="12"/>
      <c r="F26">
        <v>2.8</v>
      </c>
      <c r="G26" t="s">
        <v>534</v>
      </c>
      <c r="I26" s="143">
        <f>A25/F26</f>
        <v>4491.396827097062</v>
      </c>
      <c r="J26" t="s">
        <v>536</v>
      </c>
      <c r="L26" s="144">
        <f>V25/F26</f>
        <v>156.00907740272578</v>
      </c>
      <c r="M26" s="33" t="s">
        <v>1675</v>
      </c>
      <c r="P26">
        <f>Y25/F26</f>
        <v>39.12948556599108</v>
      </c>
      <c r="Q26" s="33" t="s">
        <v>1676</v>
      </c>
      <c r="V26" s="35">
        <f>4*V25</f>
        <v>1747.3016669105286</v>
      </c>
      <c r="W26" s="48">
        <f>9*W25</f>
        <v>5242.724889593224</v>
      </c>
      <c r="X26" s="146">
        <f>4*X25</f>
        <v>5959.083536612182</v>
      </c>
      <c r="AA26" s="35">
        <f>9*AA25</f>
        <v>1251.6518098531392</v>
      </c>
      <c r="AB26" t="s">
        <v>697</v>
      </c>
    </row>
    <row r="27" spans="2:28" ht="12.75">
      <c r="B27" s="9"/>
      <c r="C27" s="2"/>
      <c r="D27" s="2"/>
      <c r="E27" s="11"/>
      <c r="L27">
        <f>Z25/F26</f>
        <v>129.0221088435374</v>
      </c>
      <c r="M27" s="33" t="s">
        <v>605</v>
      </c>
      <c r="R27" s="144">
        <f>AA25/F26</f>
        <v>49.66872261321981</v>
      </c>
      <c r="S27" s="33" t="s">
        <v>1677</v>
      </c>
      <c r="V27" s="9">
        <f>V26*100/A25</f>
        <v>13.894036390773302</v>
      </c>
      <c r="W27" s="9">
        <f>100*W26/A25</f>
        <v>41.68862869089859</v>
      </c>
      <c r="X27" s="9">
        <f>X26*100/A25</f>
        <v>47.38490501170415</v>
      </c>
      <c r="Y27" s="145">
        <f>100*Y25/A25</f>
        <v>0.8712097165389362</v>
      </c>
      <c r="AA27" s="2">
        <f>100*AA26/A25</f>
        <v>9.952772394148507</v>
      </c>
      <c r="AB27" t="s">
        <v>1786</v>
      </c>
    </row>
    <row r="28" spans="2:11" ht="12.75">
      <c r="B28" s="9"/>
      <c r="C28" s="2"/>
      <c r="D28" s="2"/>
      <c r="E28" s="12"/>
      <c r="K28" s="33" t="s">
        <v>587</v>
      </c>
    </row>
    <row r="29" spans="1:12" ht="12.75">
      <c r="A29" s="93">
        <f>F26*3800</f>
        <v>10640</v>
      </c>
      <c r="B29" s="93"/>
      <c r="C29" s="94"/>
      <c r="D29" s="94"/>
      <c r="E29" s="126" t="s">
        <v>1917</v>
      </c>
      <c r="L29" t="s">
        <v>602</v>
      </c>
    </row>
    <row r="30" spans="1:12" ht="12.75">
      <c r="A30" s="93">
        <f>A29-A25</f>
        <v>-1935.9111158717715</v>
      </c>
      <c r="B30" s="93"/>
      <c r="C30" s="93"/>
      <c r="D30" s="92"/>
      <c r="E30" s="92" t="s">
        <v>1497</v>
      </c>
      <c r="L30" s="6" t="s">
        <v>600</v>
      </c>
    </row>
    <row r="31" ht="12.75">
      <c r="L31" t="s">
        <v>601</v>
      </c>
    </row>
    <row r="32" spans="2:12" ht="12.75">
      <c r="B32" s="9"/>
      <c r="C32" s="2"/>
      <c r="D32" s="2"/>
      <c r="E32" s="11"/>
      <c r="L32" s="27" t="s">
        <v>603</v>
      </c>
    </row>
    <row r="33" spans="6:29" ht="12.75">
      <c r="F33" s="9"/>
      <c r="I33" s="10"/>
      <c r="J33" s="6"/>
      <c r="K33" s="6"/>
      <c r="L33" s="6"/>
      <c r="M33" s="6"/>
      <c r="N33" s="6"/>
      <c r="O33" s="2"/>
      <c r="P33" s="16"/>
      <c r="Q33" s="9"/>
      <c r="R33" s="29"/>
      <c r="S33" s="93"/>
      <c r="T33" s="92"/>
      <c r="U33" s="94"/>
      <c r="V33" s="92"/>
      <c r="W33" s="92"/>
      <c r="X33" s="93"/>
      <c r="Y33" s="93"/>
      <c r="AA33" s="2"/>
      <c r="AB33" s="173">
        <f>174/(B24+B21)</f>
        <v>0.3328550932568149</v>
      </c>
      <c r="AC33" s="9"/>
    </row>
    <row r="34" spans="6:29" ht="12.75">
      <c r="F34" s="9"/>
      <c r="I34" s="10"/>
      <c r="J34" s="6"/>
      <c r="K34" s="6"/>
      <c r="L34" s="6"/>
      <c r="M34" s="6"/>
      <c r="N34" s="6"/>
      <c r="O34" s="2"/>
      <c r="P34" s="16"/>
      <c r="Q34" s="9"/>
      <c r="R34" s="42"/>
      <c r="S34" s="93"/>
      <c r="T34" s="93"/>
      <c r="U34" s="93"/>
      <c r="V34" s="94"/>
      <c r="W34" s="126"/>
      <c r="X34" s="93"/>
      <c r="Y34" s="93"/>
      <c r="AA34" s="2"/>
      <c r="AB34" s="8">
        <f>1-AB33</f>
        <v>0.6671449067431852</v>
      </c>
      <c r="AC34" s="9"/>
    </row>
    <row r="35" spans="2:29" ht="12.75">
      <c r="B35" s="9">
        <v>160</v>
      </c>
      <c r="C35" s="9">
        <f>B35/28.349523</f>
        <v>5.643833936817914</v>
      </c>
      <c r="D35" s="9"/>
      <c r="E35" s="152" t="s">
        <v>433</v>
      </c>
      <c r="F35" s="9"/>
      <c r="I35" s="10"/>
      <c r="J35" s="6"/>
      <c r="K35" s="6"/>
      <c r="L35" s="6"/>
      <c r="M35" s="6"/>
      <c r="N35" s="6"/>
      <c r="O35" s="2"/>
      <c r="P35" s="16"/>
      <c r="Q35" s="9"/>
      <c r="R35" s="16"/>
      <c r="S35" s="16"/>
      <c r="T35" s="42"/>
      <c r="U35" s="60"/>
      <c r="V35" s="9"/>
      <c r="W35" s="9"/>
      <c r="X35" s="9"/>
      <c r="Y35" s="9"/>
      <c r="AA35" s="2"/>
      <c r="AB35" s="9"/>
      <c r="AC35" s="9"/>
    </row>
    <row r="36" spans="1:29" ht="12.75">
      <c r="A36" s="9"/>
      <c r="B36" s="150">
        <f>2.7*4</f>
        <v>10.8</v>
      </c>
      <c r="C36" s="2"/>
      <c r="D36" s="2"/>
      <c r="E36" s="152" t="s">
        <v>431</v>
      </c>
      <c r="F36" s="9"/>
      <c r="I36" s="10"/>
      <c r="O36" s="2"/>
      <c r="P36" s="9"/>
      <c r="Q36" s="42"/>
      <c r="R36" s="42"/>
      <c r="S36" s="29"/>
      <c r="T36" s="29"/>
      <c r="U36" s="60"/>
      <c r="V36" s="9"/>
      <c r="W36" s="9"/>
      <c r="X36" s="9"/>
      <c r="Y36" s="9"/>
      <c r="AA36" s="2"/>
      <c r="AB36" s="9"/>
      <c r="AC36" s="9"/>
    </row>
    <row r="37" spans="1:29" ht="12.75">
      <c r="A37" s="9"/>
      <c r="B37" s="9">
        <f>B36+B35+B25</f>
        <v>3817.5499999999997</v>
      </c>
      <c r="C37" s="9">
        <f>B37/28.349523</f>
        <v>134.66011403437017</v>
      </c>
      <c r="D37" s="2">
        <f>C37/16</f>
        <v>8.416257127148135</v>
      </c>
      <c r="E37" s="152" t="s">
        <v>436</v>
      </c>
      <c r="F37" s="9"/>
      <c r="I37" s="10"/>
      <c r="N37" s="109"/>
      <c r="O37" s="2"/>
      <c r="P37" s="9"/>
      <c r="Q37" s="9"/>
      <c r="R37" s="42"/>
      <c r="S37" s="46"/>
      <c r="T37" s="29"/>
      <c r="U37" s="60"/>
      <c r="V37" s="9"/>
      <c r="W37" s="9"/>
      <c r="X37" s="9"/>
      <c r="Y37" s="9"/>
      <c r="AA37" s="2"/>
      <c r="AB37" s="9"/>
      <c r="AC37" s="9"/>
    </row>
    <row r="38" spans="1:29" ht="12.75">
      <c r="A38" s="9"/>
      <c r="B38" s="9">
        <f>B37-B16</f>
        <v>2827.5499999999997</v>
      </c>
      <c r="C38" s="9">
        <f>B38/28.349523</f>
        <v>99.73889155030932</v>
      </c>
      <c r="D38" s="2">
        <f>C38/16</f>
        <v>6.233680721894332</v>
      </c>
      <c r="E38" s="152" t="s">
        <v>437</v>
      </c>
      <c r="F38" s="9"/>
      <c r="I38" s="10"/>
      <c r="O38" s="2"/>
      <c r="P38" s="9"/>
      <c r="Q38" s="9"/>
      <c r="R38" s="16"/>
      <c r="S38" s="16"/>
      <c r="T38" s="9"/>
      <c r="U38" s="60"/>
      <c r="V38" s="9"/>
      <c r="W38" s="9"/>
      <c r="X38" s="9"/>
      <c r="Y38" s="9"/>
      <c r="AA38" s="2"/>
      <c r="AB38" s="9"/>
      <c r="AC38" s="9"/>
    </row>
    <row r="39" spans="1:29" ht="12.75">
      <c r="A39" s="9"/>
      <c r="C39" s="2"/>
      <c r="D39" s="2"/>
      <c r="E39" s="11"/>
      <c r="I39" s="10"/>
      <c r="O39" s="2"/>
      <c r="Q39" s="9"/>
      <c r="R39" s="16"/>
      <c r="S39" s="16"/>
      <c r="T39" s="16"/>
      <c r="U39" s="60"/>
      <c r="V39" s="16"/>
      <c r="W39" s="9"/>
      <c r="X39" s="9"/>
      <c r="Y39" s="16"/>
      <c r="AA39" s="2"/>
      <c r="AB39" s="10"/>
      <c r="AC39" s="9"/>
    </row>
    <row r="40" spans="1:29" ht="12.75">
      <c r="A40" s="9"/>
      <c r="C40" s="2"/>
      <c r="D40" s="2"/>
      <c r="E40" s="11"/>
      <c r="F40" s="9"/>
      <c r="I40" s="10"/>
      <c r="O40" s="2"/>
      <c r="Q40" s="9"/>
      <c r="R40" s="29"/>
      <c r="S40" s="16"/>
      <c r="T40" s="29"/>
      <c r="U40" s="60"/>
      <c r="V40" s="16"/>
      <c r="W40" s="9"/>
      <c r="X40" s="9"/>
      <c r="Y40" s="16"/>
      <c r="AA40" s="2"/>
      <c r="AB40" s="32"/>
      <c r="AC40" s="9"/>
    </row>
    <row r="41" spans="1:29" ht="12.75">
      <c r="A41" s="9"/>
      <c r="C41" s="2"/>
      <c r="D41" s="2"/>
      <c r="E41" s="11"/>
      <c r="F41" s="9"/>
      <c r="I41" s="10"/>
      <c r="O41" s="2"/>
      <c r="P41" s="29"/>
      <c r="Q41" s="9"/>
      <c r="R41" s="29"/>
      <c r="S41" s="16"/>
      <c r="T41" s="16"/>
      <c r="U41" s="60"/>
      <c r="V41" s="16"/>
      <c r="W41" s="9"/>
      <c r="X41" s="9"/>
      <c r="Y41" s="16"/>
      <c r="AA41" s="2"/>
      <c r="AB41" s="11"/>
      <c r="AC41" s="9"/>
    </row>
    <row r="42" spans="1:29" ht="12.75">
      <c r="A42" s="9"/>
      <c r="C42" s="2"/>
      <c r="D42" s="2"/>
      <c r="E42" s="11"/>
      <c r="F42" s="9"/>
      <c r="I42" s="10"/>
      <c r="O42" s="2"/>
      <c r="P42" s="29"/>
      <c r="Q42" s="9"/>
      <c r="R42" s="16"/>
      <c r="S42" s="16"/>
      <c r="T42" s="16"/>
      <c r="U42" s="60"/>
      <c r="V42" s="16"/>
      <c r="W42" s="9"/>
      <c r="X42" s="9"/>
      <c r="Y42" s="16"/>
      <c r="AA42" s="2"/>
      <c r="AB42" s="11"/>
      <c r="AC42" s="9"/>
    </row>
    <row r="43" spans="1:29" ht="12.75">
      <c r="A43" s="9"/>
      <c r="B43" s="6"/>
      <c r="C43" s="2"/>
      <c r="D43" s="2"/>
      <c r="E43" s="11"/>
      <c r="F43" s="9"/>
      <c r="I43" s="6"/>
      <c r="O43" s="2"/>
      <c r="P43" s="42"/>
      <c r="Q43" s="9"/>
      <c r="R43" s="16"/>
      <c r="S43" s="29"/>
      <c r="T43" s="42"/>
      <c r="U43" s="60"/>
      <c r="V43" s="9"/>
      <c r="W43" s="9"/>
      <c r="X43" s="9"/>
      <c r="Y43" s="16"/>
      <c r="AA43" s="2"/>
      <c r="AB43" s="9"/>
      <c r="AC43" s="9"/>
    </row>
    <row r="44" spans="1:29" ht="12.75">
      <c r="A44" s="9"/>
      <c r="C44" s="2"/>
      <c r="D44" s="2"/>
      <c r="E44" s="11"/>
      <c r="F44" s="9"/>
      <c r="I44" s="10"/>
      <c r="O44" s="2"/>
      <c r="P44" s="42"/>
      <c r="Q44" s="9"/>
      <c r="R44" s="42"/>
      <c r="S44" s="29"/>
      <c r="T44" s="42"/>
      <c r="U44" s="60"/>
      <c r="V44" s="9"/>
      <c r="W44" s="9"/>
      <c r="X44" s="9"/>
      <c r="Y44" s="9"/>
      <c r="AA44" s="2"/>
      <c r="AB44" s="9"/>
      <c r="AC44" s="9"/>
    </row>
    <row r="45" spans="1:29" ht="12.75">
      <c r="A45" s="9"/>
      <c r="C45" s="2"/>
      <c r="D45" s="2"/>
      <c r="E45" s="11"/>
      <c r="F45" s="9"/>
      <c r="I45" s="10"/>
      <c r="O45" s="2"/>
      <c r="P45" s="29"/>
      <c r="Q45" s="9"/>
      <c r="R45" s="29"/>
      <c r="S45" s="16"/>
      <c r="T45" s="9"/>
      <c r="U45" s="60"/>
      <c r="V45" s="16"/>
      <c r="W45" s="9"/>
      <c r="X45" s="9"/>
      <c r="Y45" s="16"/>
      <c r="AA45" s="2"/>
      <c r="AB45" s="11"/>
      <c r="AC45" s="9"/>
    </row>
    <row r="46" spans="1:29" ht="12.75">
      <c r="A46" s="9"/>
      <c r="C46" s="2"/>
      <c r="D46" s="2"/>
      <c r="E46" s="11"/>
      <c r="F46" s="9"/>
      <c r="I46" s="10"/>
      <c r="O46" s="2"/>
      <c r="P46" s="16"/>
      <c r="Q46" s="9"/>
      <c r="R46" s="29"/>
      <c r="S46" s="16"/>
      <c r="T46" s="9"/>
      <c r="U46" s="60"/>
      <c r="V46" s="16"/>
      <c r="W46" s="9"/>
      <c r="X46" s="9"/>
      <c r="Y46" s="16"/>
      <c r="AA46" s="2"/>
      <c r="AB46" s="11"/>
      <c r="AC46" s="9"/>
    </row>
    <row r="47" spans="1:29" ht="12.75">
      <c r="A47" s="9"/>
      <c r="C47" s="2"/>
      <c r="D47" s="2"/>
      <c r="E47" s="11"/>
      <c r="F47" s="9"/>
      <c r="I47" s="10"/>
      <c r="O47" s="2"/>
      <c r="P47" s="29"/>
      <c r="Q47" s="9"/>
      <c r="R47" s="16"/>
      <c r="S47" s="16"/>
      <c r="T47" s="9"/>
      <c r="U47" s="60"/>
      <c r="V47" s="9"/>
      <c r="W47" s="9"/>
      <c r="X47" s="9"/>
      <c r="Y47" s="9"/>
      <c r="AA47" s="2"/>
      <c r="AB47" s="9"/>
      <c r="AC47" s="9"/>
    </row>
    <row r="48" spans="1:29" ht="12.75">
      <c r="A48" s="9"/>
      <c r="C48" s="2"/>
      <c r="D48" s="2"/>
      <c r="E48" s="11"/>
      <c r="F48" s="9"/>
      <c r="I48" s="10"/>
      <c r="O48" s="2"/>
      <c r="P48" s="29"/>
      <c r="Q48" s="9"/>
      <c r="R48" s="16"/>
      <c r="S48" s="16"/>
      <c r="T48" s="29"/>
      <c r="U48" s="60"/>
      <c r="V48" s="9"/>
      <c r="W48" s="9"/>
      <c r="X48" s="9"/>
      <c r="Y48" s="9"/>
      <c r="AA48" s="2"/>
      <c r="AB48" s="9"/>
      <c r="AC48" s="9"/>
    </row>
    <row r="49" spans="1:29" ht="12.75">
      <c r="A49" s="9"/>
      <c r="C49" s="2"/>
      <c r="D49" s="2"/>
      <c r="E49" s="11"/>
      <c r="F49" s="9"/>
      <c r="I49" s="10"/>
      <c r="O49" s="2"/>
      <c r="P49" s="42"/>
      <c r="Q49" s="9"/>
      <c r="R49" s="16"/>
      <c r="S49" s="16"/>
      <c r="T49" s="9"/>
      <c r="U49" s="60"/>
      <c r="V49" s="9"/>
      <c r="W49" s="9"/>
      <c r="X49" s="9"/>
      <c r="Y49" s="9"/>
      <c r="AA49" s="2"/>
      <c r="AB49" s="9"/>
      <c r="AC49" s="9"/>
    </row>
    <row r="50" spans="1:29" ht="12.75">
      <c r="A50" s="9"/>
      <c r="C50" s="2"/>
      <c r="D50" s="2"/>
      <c r="E50" s="11"/>
      <c r="F50" s="9"/>
      <c r="I50" s="10"/>
      <c r="O50" s="2"/>
      <c r="P50" s="42"/>
      <c r="Q50" s="9"/>
      <c r="R50" s="16"/>
      <c r="S50" s="16"/>
      <c r="T50" s="9"/>
      <c r="U50" s="60"/>
      <c r="V50" s="9"/>
      <c r="W50" s="9"/>
      <c r="X50" s="9"/>
      <c r="Y50" s="9"/>
      <c r="AA50" s="2"/>
      <c r="AB50" s="9"/>
      <c r="AC50" s="9"/>
    </row>
    <row r="51" spans="1:29" ht="12.75">
      <c r="A51" s="9"/>
      <c r="C51" s="2"/>
      <c r="D51" s="2"/>
      <c r="E51" s="11"/>
      <c r="F51" s="9"/>
      <c r="G51" s="33"/>
      <c r="I51" s="44"/>
      <c r="O51" s="2"/>
      <c r="P51" s="42"/>
      <c r="Q51" s="29"/>
      <c r="R51" s="29"/>
      <c r="S51" s="16"/>
      <c r="T51" s="9"/>
      <c r="U51" s="60"/>
      <c r="V51" s="9"/>
      <c r="W51" s="9"/>
      <c r="X51" s="9"/>
      <c r="Y51" s="9"/>
      <c r="AA51" s="2"/>
      <c r="AC51" s="9"/>
    </row>
    <row r="52" spans="1:29" ht="12.75">
      <c r="A52" s="9"/>
      <c r="C52" s="2"/>
      <c r="D52" s="2"/>
      <c r="E52" s="11"/>
      <c r="F52" s="9"/>
      <c r="G52" s="33"/>
      <c r="I52" s="10"/>
      <c r="O52" s="2"/>
      <c r="P52" s="42"/>
      <c r="Q52" s="9"/>
      <c r="R52" s="29"/>
      <c r="S52" s="16"/>
      <c r="T52" s="9"/>
      <c r="U52" s="60"/>
      <c r="V52" s="9"/>
      <c r="W52" s="9"/>
      <c r="X52" s="9"/>
      <c r="Y52" s="9"/>
      <c r="AA52" s="2"/>
      <c r="AC52" s="9"/>
    </row>
    <row r="53" spans="1:29" ht="12.75">
      <c r="A53" s="9"/>
      <c r="C53" s="2"/>
      <c r="D53" s="2"/>
      <c r="E53" s="11"/>
      <c r="F53" s="9"/>
      <c r="I53" s="10"/>
      <c r="O53" s="2"/>
      <c r="P53" s="42"/>
      <c r="Q53" s="9"/>
      <c r="R53" s="29"/>
      <c r="S53" s="16"/>
      <c r="T53" s="42"/>
      <c r="U53" s="60"/>
      <c r="V53" s="9"/>
      <c r="W53" s="9"/>
      <c r="X53" s="9"/>
      <c r="Y53" s="9"/>
      <c r="AA53" s="2"/>
      <c r="AC53" s="9"/>
    </row>
    <row r="54" spans="1:29" ht="12.75">
      <c r="A54" s="9"/>
      <c r="C54" s="2"/>
      <c r="D54" s="2"/>
      <c r="E54" s="11"/>
      <c r="F54" s="9"/>
      <c r="I54" s="16"/>
      <c r="O54" s="32"/>
      <c r="P54" s="42"/>
      <c r="Q54" s="9"/>
      <c r="R54" s="29"/>
      <c r="S54" s="16"/>
      <c r="T54" s="42"/>
      <c r="U54" s="60"/>
      <c r="V54" s="9"/>
      <c r="W54" s="9"/>
      <c r="X54" s="9"/>
      <c r="Y54" s="9"/>
      <c r="AA54" s="2"/>
      <c r="AC54" s="9"/>
    </row>
    <row r="55" spans="1:29" ht="12.75">
      <c r="A55" s="9"/>
      <c r="C55" s="2"/>
      <c r="D55" s="2"/>
      <c r="E55" s="11"/>
      <c r="F55" s="9"/>
      <c r="I55" s="10"/>
      <c r="O55" s="2"/>
      <c r="P55" s="42"/>
      <c r="Q55" s="9"/>
      <c r="R55" s="29"/>
      <c r="S55" s="16"/>
      <c r="T55" s="42"/>
      <c r="U55" s="60"/>
      <c r="V55" s="9"/>
      <c r="W55" s="9"/>
      <c r="X55" s="9"/>
      <c r="Y55" s="9"/>
      <c r="AA55" s="2"/>
      <c r="AC55" s="9"/>
    </row>
    <row r="56" spans="1:29" ht="12.75">
      <c r="A56" s="9"/>
      <c r="C56" s="2"/>
      <c r="D56" s="2"/>
      <c r="E56" s="11"/>
      <c r="F56" s="9"/>
      <c r="I56" s="44"/>
      <c r="O56" s="2"/>
      <c r="P56" s="42"/>
      <c r="Q56" s="9"/>
      <c r="R56" s="29"/>
      <c r="S56" s="16"/>
      <c r="T56" s="9"/>
      <c r="U56" s="60"/>
      <c r="V56" s="9"/>
      <c r="W56" s="9"/>
      <c r="X56" s="9"/>
      <c r="Y56" s="9"/>
      <c r="AA56" s="2"/>
      <c r="AC56" s="9"/>
    </row>
    <row r="57" spans="1:29" ht="12.75">
      <c r="A57" s="9"/>
      <c r="C57" s="2"/>
      <c r="D57" s="2"/>
      <c r="E57" s="11"/>
      <c r="F57" s="9"/>
      <c r="I57" s="10"/>
      <c r="O57" s="2"/>
      <c r="P57" s="9"/>
      <c r="Q57" s="29"/>
      <c r="R57" s="42"/>
      <c r="S57" s="16"/>
      <c r="T57" s="29"/>
      <c r="U57" s="60"/>
      <c r="V57" s="9"/>
      <c r="W57" s="9"/>
      <c r="X57" s="9"/>
      <c r="Y57" s="9"/>
      <c r="AA57" s="2"/>
      <c r="AB57" s="9"/>
      <c r="AC57" s="9"/>
    </row>
    <row r="58" spans="1:29" ht="12.75">
      <c r="A58" s="9"/>
      <c r="C58" s="2"/>
      <c r="D58" s="2"/>
      <c r="E58" s="11"/>
      <c r="F58" s="9"/>
      <c r="I58" s="10"/>
      <c r="O58" s="2"/>
      <c r="P58" s="9"/>
      <c r="Q58" s="29"/>
      <c r="R58" s="42"/>
      <c r="S58" s="16"/>
      <c r="T58" s="29"/>
      <c r="U58" s="60"/>
      <c r="V58" s="9"/>
      <c r="W58" s="9"/>
      <c r="X58" s="9"/>
      <c r="Y58" s="9"/>
      <c r="AA58" s="2"/>
      <c r="AB58" s="9"/>
      <c r="AC58" s="9"/>
    </row>
    <row r="59" spans="1:29" ht="12.75">
      <c r="A59" s="9"/>
      <c r="C59" s="2"/>
      <c r="D59" s="2"/>
      <c r="E59" s="11"/>
      <c r="F59" s="9"/>
      <c r="I59" s="10"/>
      <c r="O59" s="2"/>
      <c r="P59" s="9"/>
      <c r="Q59" s="29"/>
      <c r="R59" s="42"/>
      <c r="S59" s="16"/>
      <c r="T59" s="29"/>
      <c r="U59" s="60"/>
      <c r="V59" s="9"/>
      <c r="W59" s="9"/>
      <c r="X59" s="9"/>
      <c r="Y59" s="9"/>
      <c r="AA59" s="2"/>
      <c r="AB59" s="9"/>
      <c r="AC59" s="9"/>
    </row>
    <row r="60" spans="1:29" ht="12.75">
      <c r="A60" s="9"/>
      <c r="C60" s="2"/>
      <c r="D60" s="2"/>
      <c r="E60" s="11"/>
      <c r="F60" s="9"/>
      <c r="I60" s="10"/>
      <c r="O60" s="10"/>
      <c r="P60" s="9"/>
      <c r="Q60" s="29"/>
      <c r="R60" s="16"/>
      <c r="S60" s="16"/>
      <c r="T60" s="16"/>
      <c r="U60" s="60"/>
      <c r="V60" s="9"/>
      <c r="W60" s="9"/>
      <c r="X60" s="9"/>
      <c r="Y60" s="9"/>
      <c r="Z60" s="9"/>
      <c r="AA60" s="2"/>
      <c r="AB60" s="9"/>
      <c r="AC60" s="9"/>
    </row>
    <row r="61" spans="1:29" ht="12.75">
      <c r="A61" s="9"/>
      <c r="B61" s="9"/>
      <c r="C61" s="2"/>
      <c r="D61" s="2"/>
      <c r="E61" s="11"/>
      <c r="F61" s="9"/>
      <c r="I61" s="10"/>
      <c r="O61" s="10"/>
      <c r="P61" s="42"/>
      <c r="Q61" s="16"/>
      <c r="R61" s="29"/>
      <c r="S61" s="16"/>
      <c r="T61" s="16"/>
      <c r="U61" s="60"/>
      <c r="V61" s="16"/>
      <c r="W61" s="9"/>
      <c r="X61" s="9"/>
      <c r="Y61" s="16"/>
      <c r="AA61" s="2"/>
      <c r="AB61" s="9"/>
      <c r="AC61" s="9"/>
    </row>
    <row r="62" spans="1:29" ht="12.75">
      <c r="A62" s="9"/>
      <c r="B62" s="9"/>
      <c r="C62" s="2"/>
      <c r="D62" s="2"/>
      <c r="E62" s="11"/>
      <c r="F62" s="9"/>
      <c r="I62" s="10"/>
      <c r="O62" s="10"/>
      <c r="P62" s="42"/>
      <c r="Q62" s="16"/>
      <c r="R62" s="29"/>
      <c r="S62" s="16"/>
      <c r="T62" s="16"/>
      <c r="U62" s="60"/>
      <c r="V62" s="16"/>
      <c r="W62" s="9"/>
      <c r="X62" s="9"/>
      <c r="Y62" s="16"/>
      <c r="AA62" s="2"/>
      <c r="AB62" s="9"/>
      <c r="AC62" s="9"/>
    </row>
    <row r="63" spans="1:29" ht="12.75">
      <c r="A63" s="9"/>
      <c r="B63" s="9"/>
      <c r="C63" s="2"/>
      <c r="D63" s="2"/>
      <c r="E63" s="11"/>
      <c r="F63" s="9"/>
      <c r="I63" s="10"/>
      <c r="O63" s="10"/>
      <c r="P63" s="42"/>
      <c r="Q63" s="16"/>
      <c r="R63" s="29"/>
      <c r="S63" s="16"/>
      <c r="T63" s="16"/>
      <c r="U63" s="60"/>
      <c r="V63" s="16"/>
      <c r="W63" s="9"/>
      <c r="X63" s="9"/>
      <c r="Y63" s="16"/>
      <c r="AA63" s="2"/>
      <c r="AB63" s="9"/>
      <c r="AC63" s="9"/>
    </row>
    <row r="64" spans="1:29" ht="12.75">
      <c r="A64" s="9"/>
      <c r="B64" s="9"/>
      <c r="C64" s="2"/>
      <c r="D64" s="2"/>
      <c r="E64" s="11"/>
      <c r="F64" s="9"/>
      <c r="I64" s="10"/>
      <c r="O64" s="10"/>
      <c r="P64" s="42"/>
      <c r="Q64" s="16"/>
      <c r="R64" s="16"/>
      <c r="S64" s="16"/>
      <c r="T64" s="16"/>
      <c r="U64" s="60"/>
      <c r="V64" s="16"/>
      <c r="W64" s="9"/>
      <c r="X64" s="9"/>
      <c r="Y64" s="16"/>
      <c r="AA64" s="2"/>
      <c r="AB64" s="9"/>
      <c r="AC64" s="9"/>
    </row>
    <row r="65" spans="1:29" ht="12.75">
      <c r="A65" s="9"/>
      <c r="C65" s="2"/>
      <c r="D65" s="2"/>
      <c r="E65" s="11"/>
      <c r="F65" s="9"/>
      <c r="I65" s="10"/>
      <c r="O65" s="32"/>
      <c r="P65" s="9"/>
      <c r="Q65" s="29"/>
      <c r="R65" s="29"/>
      <c r="S65" s="16"/>
      <c r="T65" s="9"/>
      <c r="U65" s="60"/>
      <c r="V65" s="9"/>
      <c r="W65" s="9"/>
      <c r="X65" s="9"/>
      <c r="Y65" s="9"/>
      <c r="AA65" s="2"/>
      <c r="AC65" s="9"/>
    </row>
    <row r="66" spans="1:29" ht="12.75">
      <c r="A66" s="9"/>
      <c r="C66" s="2"/>
      <c r="D66" s="2"/>
      <c r="E66" s="11"/>
      <c r="F66" s="9"/>
      <c r="I66" s="10"/>
      <c r="O66" s="32"/>
      <c r="P66" s="42"/>
      <c r="Q66" s="29"/>
      <c r="R66" s="29"/>
      <c r="S66" s="16"/>
      <c r="T66" s="29"/>
      <c r="U66" s="60"/>
      <c r="V66" s="9"/>
      <c r="W66" s="9"/>
      <c r="X66" s="9"/>
      <c r="Y66" s="9"/>
      <c r="AA66" s="2"/>
      <c r="AB66" s="9"/>
      <c r="AC66" s="9"/>
    </row>
    <row r="67" spans="1:29" ht="12.75">
      <c r="A67" s="9"/>
      <c r="C67" s="2"/>
      <c r="D67" s="2"/>
      <c r="E67" s="11"/>
      <c r="F67" s="9"/>
      <c r="I67" s="10"/>
      <c r="O67" s="32"/>
      <c r="P67" s="42"/>
      <c r="Q67" s="29"/>
      <c r="R67" s="16"/>
      <c r="S67" s="16"/>
      <c r="T67" s="9"/>
      <c r="U67" s="60"/>
      <c r="V67" s="9"/>
      <c r="W67" s="9"/>
      <c r="X67" s="9"/>
      <c r="Y67" s="9"/>
      <c r="AA67" s="2"/>
      <c r="AB67" s="9"/>
      <c r="AC67" s="9"/>
    </row>
    <row r="68" spans="1:27" ht="12.75">
      <c r="A68" s="9"/>
      <c r="B68" s="12"/>
      <c r="C68" s="2"/>
      <c r="D68" s="2"/>
      <c r="E68" s="11"/>
      <c r="F68" s="9"/>
      <c r="I68" s="10"/>
      <c r="O68" s="32"/>
      <c r="P68" s="42"/>
      <c r="Q68" s="29"/>
      <c r="R68" s="16"/>
      <c r="S68" s="16"/>
      <c r="T68" s="9"/>
      <c r="U68" s="60"/>
      <c r="V68" s="9"/>
      <c r="W68" s="9"/>
      <c r="X68" s="9"/>
      <c r="Y68" s="9"/>
      <c r="AA68" s="2"/>
    </row>
    <row r="69" spans="1:27" ht="12.75">
      <c r="A69" s="9"/>
      <c r="B69" s="12"/>
      <c r="C69" s="2"/>
      <c r="D69" s="2"/>
      <c r="E69" s="11"/>
      <c r="F69" s="9"/>
      <c r="I69" s="10"/>
      <c r="O69" s="32"/>
      <c r="P69" s="42"/>
      <c r="Q69" s="29"/>
      <c r="R69" s="16"/>
      <c r="S69" s="16"/>
      <c r="T69" s="9"/>
      <c r="U69" s="60"/>
      <c r="V69" s="9"/>
      <c r="W69" s="9"/>
      <c r="X69" s="9"/>
      <c r="Y69" s="9"/>
      <c r="AA69" s="2"/>
    </row>
    <row r="70" spans="1:29" ht="12.75">
      <c r="A70" s="9"/>
      <c r="C70" s="2"/>
      <c r="D70" s="2"/>
      <c r="E70" s="11"/>
      <c r="F70" s="9"/>
      <c r="I70" s="10"/>
      <c r="O70" s="32"/>
      <c r="P70" s="42"/>
      <c r="Q70" s="29"/>
      <c r="R70" s="16"/>
      <c r="S70" s="16"/>
      <c r="T70" s="9"/>
      <c r="U70" s="60"/>
      <c r="V70" s="9"/>
      <c r="W70" s="9"/>
      <c r="X70" s="9"/>
      <c r="Y70" s="9"/>
      <c r="AA70" s="2"/>
      <c r="AB70" s="9"/>
      <c r="AC70" s="9"/>
    </row>
    <row r="71" spans="1:29" ht="12.75">
      <c r="A71" s="9"/>
      <c r="C71" s="2"/>
      <c r="D71" s="2"/>
      <c r="E71" s="11"/>
      <c r="F71" s="9"/>
      <c r="I71" s="10"/>
      <c r="O71" s="32"/>
      <c r="P71" s="42"/>
      <c r="Q71" s="29"/>
      <c r="R71" s="16"/>
      <c r="S71" s="16"/>
      <c r="T71" s="9"/>
      <c r="U71" s="60"/>
      <c r="V71" s="9"/>
      <c r="W71" s="9"/>
      <c r="X71" s="9"/>
      <c r="Y71" s="9"/>
      <c r="AA71" s="2"/>
      <c r="AB71" s="9"/>
      <c r="AC71" s="9"/>
    </row>
    <row r="72" spans="1:29" ht="12.75">
      <c r="A72" s="9"/>
      <c r="C72" s="2"/>
      <c r="D72" s="2"/>
      <c r="E72" s="11"/>
      <c r="F72" s="9"/>
      <c r="I72" s="10"/>
      <c r="O72" s="32"/>
      <c r="P72" s="9"/>
      <c r="Q72" s="9"/>
      <c r="R72" s="16"/>
      <c r="S72" s="16"/>
      <c r="T72" s="9"/>
      <c r="U72" s="60"/>
      <c r="V72" s="9"/>
      <c r="W72" s="9"/>
      <c r="X72" s="9"/>
      <c r="Y72" s="9"/>
      <c r="Z72" s="9"/>
      <c r="AA72" s="2"/>
      <c r="AB72" s="9"/>
      <c r="AC72" s="9"/>
    </row>
    <row r="73" spans="1:28" ht="12.75">
      <c r="A73" s="9"/>
      <c r="B73" s="12"/>
      <c r="C73" s="2"/>
      <c r="D73" s="2"/>
      <c r="E73" s="11"/>
      <c r="F73" s="9"/>
      <c r="I73" s="10"/>
      <c r="J73" s="6"/>
      <c r="K73" s="6"/>
      <c r="L73" s="6"/>
      <c r="M73" s="6"/>
      <c r="N73" s="6"/>
      <c r="O73" s="44"/>
      <c r="P73" s="42"/>
      <c r="Q73" s="42"/>
      <c r="R73" s="42"/>
      <c r="S73" s="46"/>
      <c r="T73" s="35"/>
      <c r="U73" s="60"/>
      <c r="V73" s="35"/>
      <c r="W73" s="35"/>
      <c r="X73" s="35"/>
      <c r="Y73" s="35"/>
      <c r="Z73" s="34"/>
      <c r="AA73" s="44"/>
      <c r="AB73" s="9"/>
    </row>
    <row r="74" spans="15:21" ht="12.75">
      <c r="O74" s="2"/>
      <c r="U74" s="60"/>
    </row>
    <row r="75" ht="12.75">
      <c r="U75" s="60"/>
    </row>
    <row r="76" ht="12.75">
      <c r="U76" s="60"/>
    </row>
    <row r="77" spans="1:29" ht="12.75">
      <c r="A77" s="9"/>
      <c r="C77" s="2"/>
      <c r="D77" s="2"/>
      <c r="E77" s="11"/>
      <c r="F77" s="9"/>
      <c r="I77" s="6"/>
      <c r="J77" s="6"/>
      <c r="K77" s="6"/>
      <c r="L77" s="6"/>
      <c r="M77" s="6"/>
      <c r="N77" s="6"/>
      <c r="O77" s="2"/>
      <c r="P77" s="29"/>
      <c r="Q77" s="9"/>
      <c r="R77" s="42"/>
      <c r="S77" s="16"/>
      <c r="T77" s="9"/>
      <c r="U77" s="60"/>
      <c r="V77" s="16"/>
      <c r="W77" s="9"/>
      <c r="X77" s="9"/>
      <c r="Y77" s="9"/>
      <c r="AA77" s="2"/>
      <c r="AC77" s="9"/>
    </row>
    <row r="78" spans="1:27" ht="12.75">
      <c r="A78" s="9"/>
      <c r="C78" s="2"/>
      <c r="D78" s="2"/>
      <c r="O78" s="2"/>
      <c r="P78" s="16"/>
      <c r="Q78" s="9"/>
      <c r="R78" s="16"/>
      <c r="S78" s="29"/>
      <c r="T78" s="9"/>
      <c r="U78" s="60"/>
      <c r="V78" s="16"/>
      <c r="W78" s="9"/>
      <c r="X78" s="9"/>
      <c r="Y78" s="9"/>
      <c r="AA78" s="2"/>
    </row>
    <row r="79" spans="1:27" ht="12.75">
      <c r="A79" s="9"/>
      <c r="C79" s="2"/>
      <c r="D79" s="2"/>
      <c r="O79" s="2"/>
      <c r="P79" s="16"/>
      <c r="Q79" s="9"/>
      <c r="R79" s="29"/>
      <c r="S79" s="16"/>
      <c r="T79" s="9"/>
      <c r="U79" s="60"/>
      <c r="V79" s="16"/>
      <c r="W79" s="9"/>
      <c r="X79" s="9"/>
      <c r="Y79" s="9"/>
      <c r="AA79" s="2"/>
    </row>
    <row r="83" spans="1:8" ht="12.75">
      <c r="A83" s="2"/>
      <c r="B83" s="11"/>
      <c r="H83" s="33"/>
    </row>
    <row r="87" ht="12.75">
      <c r="I87" s="27"/>
    </row>
  </sheetData>
  <printOptions/>
  <pageMargins left="0.75" right="0.75" top="1" bottom="1" header="0.5" footer="0.5"/>
  <pageSetup horizontalDpi="300" verticalDpi="300" orientation="portrait" r:id="rId1"/>
</worksheet>
</file>

<file path=xl/worksheets/sheet16.xml><?xml version="1.0" encoding="utf-8"?>
<worksheet xmlns="http://schemas.openxmlformats.org/spreadsheetml/2006/main" xmlns:r="http://schemas.openxmlformats.org/officeDocument/2006/relationships">
  <dimension ref="A1:AD87"/>
  <sheetViews>
    <sheetView workbookViewId="0" topLeftCell="A1">
      <pane ySplit="1" topLeftCell="BM11" activePane="bottomLeft" state="frozen"/>
      <selection pane="topLeft" activeCell="A1" sqref="A1"/>
      <selection pane="bottomLeft" activeCell="E24" sqref="E24"/>
    </sheetView>
  </sheetViews>
  <sheetFormatPr defaultColWidth="9.140625" defaultRowHeight="12.75"/>
  <cols>
    <col min="1" max="1" width="6.00390625" style="0" bestFit="1" customWidth="1"/>
    <col min="2" max="2" width="5.00390625" style="0" bestFit="1" customWidth="1"/>
    <col min="3" max="3" width="4.57421875" style="0" bestFit="1" customWidth="1"/>
    <col min="4" max="4" width="4.28125" style="0" customWidth="1"/>
    <col min="5" max="5" width="29.7109375" style="0" customWidth="1"/>
    <col min="6" max="6" width="3.8515625" style="0" customWidth="1"/>
    <col min="7" max="7" width="4.00390625" style="0" customWidth="1"/>
    <col min="8" max="8" width="2.8515625" style="0" customWidth="1"/>
    <col min="9" max="9" width="3.7109375" style="0" customWidth="1"/>
    <col min="10" max="10" width="3.00390625" style="0" customWidth="1"/>
    <col min="11" max="11" width="2.8515625" style="0" customWidth="1"/>
    <col min="12" max="12" width="3.7109375" style="0" customWidth="1"/>
    <col min="13" max="13" width="2.8515625" style="0" customWidth="1"/>
    <col min="14" max="14" width="2.57421875" style="0" customWidth="1"/>
    <col min="15" max="15" width="3.7109375" style="0" customWidth="1"/>
    <col min="16" max="16" width="3.57421875" style="0" customWidth="1"/>
    <col min="17" max="17" width="3.00390625" style="0" customWidth="1"/>
    <col min="18" max="18" width="3.28125" style="0" customWidth="1"/>
    <col min="19" max="19" width="4.140625" style="0" customWidth="1"/>
    <col min="20" max="20" width="3.00390625" style="0" customWidth="1"/>
    <col min="21" max="21" width="4.7109375" style="0" bestFit="1" customWidth="1"/>
    <col min="22" max="22" width="4.28125" style="0" bestFit="1" customWidth="1"/>
    <col min="23" max="23" width="4.00390625" style="0" customWidth="1"/>
    <col min="24" max="25" width="4.00390625" style="0" bestFit="1" customWidth="1"/>
    <col min="26" max="27" width="4.7109375" style="0" customWidth="1"/>
  </cols>
  <sheetData>
    <row r="1" spans="2:29" ht="118.5" customHeight="1">
      <c r="B1" s="28" t="s">
        <v>1603</v>
      </c>
      <c r="C1" t="s">
        <v>1265</v>
      </c>
      <c r="D1" t="s">
        <v>1604</v>
      </c>
      <c r="E1" s="12" t="s">
        <v>2075</v>
      </c>
      <c r="F1" s="28" t="s">
        <v>1932</v>
      </c>
      <c r="G1" s="1" t="s">
        <v>559</v>
      </c>
      <c r="H1" s="1" t="s">
        <v>585</v>
      </c>
      <c r="I1" s="1" t="s">
        <v>584</v>
      </c>
      <c r="J1" s="1" t="s">
        <v>583</v>
      </c>
      <c r="K1" s="1" t="s">
        <v>582</v>
      </c>
      <c r="L1" s="1" t="s">
        <v>581</v>
      </c>
      <c r="M1" s="1" t="s">
        <v>580</v>
      </c>
      <c r="N1" s="1" t="s">
        <v>579</v>
      </c>
      <c r="O1" s="1" t="s">
        <v>560</v>
      </c>
      <c r="P1" s="1" t="s">
        <v>1798</v>
      </c>
      <c r="Q1" s="1" t="s">
        <v>1797</v>
      </c>
      <c r="R1" s="1" t="s">
        <v>1785</v>
      </c>
      <c r="S1" s="1" t="s">
        <v>1820</v>
      </c>
      <c r="T1" s="1" t="s">
        <v>563</v>
      </c>
      <c r="U1" s="1" t="s">
        <v>572</v>
      </c>
      <c r="V1" s="1" t="s">
        <v>571</v>
      </c>
      <c r="W1" s="1" t="s">
        <v>575</v>
      </c>
      <c r="X1" s="1" t="s">
        <v>576</v>
      </c>
      <c r="Y1" s="1" t="s">
        <v>577</v>
      </c>
      <c r="Z1" s="1" t="s">
        <v>578</v>
      </c>
      <c r="AA1" s="1" t="s">
        <v>553</v>
      </c>
      <c r="AB1" s="1"/>
      <c r="AC1" s="1"/>
    </row>
    <row r="2" spans="1:29" ht="12.75">
      <c r="A2" s="9">
        <f aca="true" t="shared" si="0" ref="A2:A24">G2*U2</f>
        <v>420</v>
      </c>
      <c r="B2">
        <f>3*F2</f>
        <v>105</v>
      </c>
      <c r="C2" s="2">
        <f aca="true" t="shared" si="1" ref="C2:C13">B2/28.349523</f>
        <v>3.703766021036756</v>
      </c>
      <c r="D2" s="2">
        <f aca="true" t="shared" si="2" ref="D2:D15">C2/16</f>
        <v>0.23148537631479724</v>
      </c>
      <c r="E2" s="11" t="s">
        <v>2004</v>
      </c>
      <c r="F2" s="9">
        <v>35</v>
      </c>
      <c r="G2">
        <v>140</v>
      </c>
      <c r="H2">
        <v>4</v>
      </c>
      <c r="I2" s="10">
        <v>0.5</v>
      </c>
      <c r="J2" s="6">
        <v>0</v>
      </c>
      <c r="K2" s="6">
        <v>24</v>
      </c>
      <c r="L2" s="6">
        <v>12</v>
      </c>
      <c r="M2" s="6">
        <v>3</v>
      </c>
      <c r="N2" s="6">
        <v>2</v>
      </c>
      <c r="O2" s="2">
        <f aca="true" t="shared" si="3" ref="O2:O7">G2/F2</f>
        <v>4</v>
      </c>
      <c r="P2" s="16">
        <f aca="true" t="shared" si="4" ref="P2:P24">100*4*M2/G2</f>
        <v>8.571428571428571</v>
      </c>
      <c r="Q2" s="9">
        <f aca="true" t="shared" si="5" ref="Q2:Q24">100*9*H2/G2</f>
        <v>25.714285714285715</v>
      </c>
      <c r="R2" s="16">
        <f aca="true" t="shared" si="6" ref="R2:R24">100*(I2*9)/G2</f>
        <v>3.2142857142857144</v>
      </c>
      <c r="S2" s="16">
        <f aca="true" t="shared" si="7" ref="S2:S24">100*K2*4/G2</f>
        <v>68.57142857142857</v>
      </c>
      <c r="T2" s="9">
        <f aca="true" t="shared" si="8" ref="T2:T24">100*N2/F2</f>
        <v>5.714285714285714</v>
      </c>
      <c r="U2" s="44">
        <f aca="true" t="shared" si="9" ref="U2:U24">B2/F2</f>
        <v>3</v>
      </c>
      <c r="V2" s="16">
        <f aca="true" t="shared" si="10" ref="V2:V24">U2*M2</f>
        <v>9</v>
      </c>
      <c r="W2" s="9">
        <f aca="true" t="shared" si="11" ref="W2:W24">U2*H2</f>
        <v>12</v>
      </c>
      <c r="X2" s="9">
        <f aca="true" t="shared" si="12" ref="X2:X24">U2*K2</f>
        <v>72</v>
      </c>
      <c r="Y2" s="9">
        <f aca="true" t="shared" si="13" ref="Y2:Y24">N2*U2</f>
        <v>6</v>
      </c>
      <c r="Z2">
        <f aca="true" t="shared" si="14" ref="Z2:Z24">U2*J2</f>
        <v>0</v>
      </c>
      <c r="AA2" s="2">
        <f aca="true" t="shared" si="15" ref="AA2:AA24">I2*U2</f>
        <v>1.5</v>
      </c>
      <c r="AB2" s="9" t="s">
        <v>1823</v>
      </c>
      <c r="AC2" s="9"/>
    </row>
    <row r="3" spans="1:29" ht="12.75">
      <c r="A3" s="9">
        <f t="shared" si="0"/>
        <v>360</v>
      </c>
      <c r="B3">
        <v>88</v>
      </c>
      <c r="C3" s="2">
        <f t="shared" si="1"/>
        <v>3.1041086652498526</v>
      </c>
      <c r="D3" s="2">
        <f t="shared" si="2"/>
        <v>0.1940067915781158</v>
      </c>
      <c r="E3" s="11" t="s">
        <v>253</v>
      </c>
      <c r="F3" s="9">
        <v>22</v>
      </c>
      <c r="G3">
        <v>90</v>
      </c>
      <c r="H3">
        <v>2</v>
      </c>
      <c r="I3" s="10">
        <v>0.5</v>
      </c>
      <c r="J3">
        <v>0</v>
      </c>
      <c r="K3">
        <v>18</v>
      </c>
      <c r="L3">
        <v>8</v>
      </c>
      <c r="M3">
        <v>1</v>
      </c>
      <c r="N3">
        <v>0</v>
      </c>
      <c r="O3" s="2">
        <f t="shared" si="3"/>
        <v>4.090909090909091</v>
      </c>
      <c r="P3" s="42">
        <f t="shared" si="4"/>
        <v>4.444444444444445</v>
      </c>
      <c r="Q3" s="9">
        <f t="shared" si="5"/>
        <v>20</v>
      </c>
      <c r="R3" s="42">
        <f t="shared" si="6"/>
        <v>5</v>
      </c>
      <c r="S3" s="29">
        <f t="shared" si="7"/>
        <v>80</v>
      </c>
      <c r="T3" s="42">
        <f t="shared" si="8"/>
        <v>0</v>
      </c>
      <c r="U3" s="44">
        <f t="shared" si="9"/>
        <v>4</v>
      </c>
      <c r="V3" s="9">
        <f t="shared" si="10"/>
        <v>4</v>
      </c>
      <c r="W3" s="9">
        <f t="shared" si="11"/>
        <v>8</v>
      </c>
      <c r="X3" s="9">
        <f t="shared" si="12"/>
        <v>72</v>
      </c>
      <c r="Y3" s="9">
        <f t="shared" si="13"/>
        <v>0</v>
      </c>
      <c r="Z3">
        <f t="shared" si="14"/>
        <v>0</v>
      </c>
      <c r="AA3" s="2">
        <f t="shared" si="15"/>
        <v>2</v>
      </c>
      <c r="AB3" s="9" t="s">
        <v>1591</v>
      </c>
      <c r="AC3" s="9"/>
    </row>
    <row r="4" spans="1:29" ht="12.75">
      <c r="A4" s="9">
        <f t="shared" si="0"/>
        <v>210</v>
      </c>
      <c r="B4">
        <v>50</v>
      </c>
      <c r="C4" s="2">
        <f t="shared" si="1"/>
        <v>1.763698105255598</v>
      </c>
      <c r="D4" s="2">
        <f t="shared" si="2"/>
        <v>0.11023113157847488</v>
      </c>
      <c r="E4" s="11" t="s">
        <v>531</v>
      </c>
      <c r="F4" s="9">
        <v>50</v>
      </c>
      <c r="G4">
        <v>210</v>
      </c>
      <c r="H4">
        <v>7</v>
      </c>
      <c r="I4" s="10">
        <v>4.5</v>
      </c>
      <c r="J4">
        <v>2.5</v>
      </c>
      <c r="K4">
        <v>22</v>
      </c>
      <c r="L4">
        <v>13</v>
      </c>
      <c r="M4">
        <v>16</v>
      </c>
      <c r="N4" s="9">
        <v>0.5</v>
      </c>
      <c r="O4" s="2">
        <f t="shared" si="3"/>
        <v>4.2</v>
      </c>
      <c r="P4" s="29">
        <f t="shared" si="4"/>
        <v>30.476190476190474</v>
      </c>
      <c r="Q4" s="9">
        <f t="shared" si="5"/>
        <v>30</v>
      </c>
      <c r="R4" s="29">
        <f t="shared" si="6"/>
        <v>19.285714285714285</v>
      </c>
      <c r="S4" s="16">
        <f t="shared" si="7"/>
        <v>41.904761904761905</v>
      </c>
      <c r="T4" s="9">
        <f t="shared" si="8"/>
        <v>1</v>
      </c>
      <c r="U4" s="44">
        <f t="shared" si="9"/>
        <v>1</v>
      </c>
      <c r="V4" s="16">
        <f t="shared" si="10"/>
        <v>16</v>
      </c>
      <c r="W4" s="9">
        <f t="shared" si="11"/>
        <v>7</v>
      </c>
      <c r="X4" s="9">
        <f t="shared" si="12"/>
        <v>22</v>
      </c>
      <c r="Y4" s="16">
        <f t="shared" si="13"/>
        <v>0.5</v>
      </c>
      <c r="Z4">
        <f t="shared" si="14"/>
        <v>2.5</v>
      </c>
      <c r="AA4" s="2">
        <f t="shared" si="15"/>
        <v>4.5</v>
      </c>
      <c r="AB4" s="11" t="s">
        <v>532</v>
      </c>
      <c r="AC4" s="9"/>
    </row>
    <row r="5" spans="1:29" ht="12.75">
      <c r="A5" s="9">
        <f t="shared" si="0"/>
        <v>630</v>
      </c>
      <c r="B5">
        <v>150</v>
      </c>
      <c r="C5" s="2">
        <f t="shared" si="1"/>
        <v>5.291094315766794</v>
      </c>
      <c r="D5" s="2">
        <f t="shared" si="2"/>
        <v>0.33069339473542464</v>
      </c>
      <c r="E5" s="11" t="s">
        <v>1321</v>
      </c>
      <c r="F5" s="9">
        <v>50</v>
      </c>
      <c r="G5">
        <v>210</v>
      </c>
      <c r="H5">
        <v>7</v>
      </c>
      <c r="I5" s="10">
        <v>4.5</v>
      </c>
      <c r="J5">
        <v>2.5</v>
      </c>
      <c r="K5">
        <v>21</v>
      </c>
      <c r="L5">
        <v>14</v>
      </c>
      <c r="M5">
        <v>15</v>
      </c>
      <c r="N5">
        <v>1</v>
      </c>
      <c r="O5" s="2">
        <f t="shared" si="3"/>
        <v>4.2</v>
      </c>
      <c r="P5" s="16">
        <f t="shared" si="4"/>
        <v>28.571428571428573</v>
      </c>
      <c r="Q5" s="9">
        <f t="shared" si="5"/>
        <v>30</v>
      </c>
      <c r="R5" s="29">
        <f t="shared" si="6"/>
        <v>19.285714285714285</v>
      </c>
      <c r="S5" s="16">
        <f t="shared" si="7"/>
        <v>40</v>
      </c>
      <c r="T5" s="9">
        <f t="shared" si="8"/>
        <v>2</v>
      </c>
      <c r="U5" s="44">
        <f t="shared" si="9"/>
        <v>3</v>
      </c>
      <c r="V5" s="16">
        <f t="shared" si="10"/>
        <v>45</v>
      </c>
      <c r="W5" s="9">
        <f t="shared" si="11"/>
        <v>21</v>
      </c>
      <c r="X5" s="9">
        <f t="shared" si="12"/>
        <v>63</v>
      </c>
      <c r="Y5" s="16">
        <f t="shared" si="13"/>
        <v>3</v>
      </c>
      <c r="Z5">
        <f t="shared" si="14"/>
        <v>7.5</v>
      </c>
      <c r="AA5" s="2">
        <f t="shared" si="15"/>
        <v>13.5</v>
      </c>
      <c r="AB5" s="11" t="s">
        <v>532</v>
      </c>
      <c r="AC5" s="9"/>
    </row>
    <row r="6" spans="1:29" ht="12.75">
      <c r="A6" s="9">
        <f t="shared" si="0"/>
        <v>840</v>
      </c>
      <c r="B6">
        <v>200</v>
      </c>
      <c r="C6" s="2">
        <f t="shared" si="1"/>
        <v>7.054792421022392</v>
      </c>
      <c r="D6" s="2">
        <f t="shared" si="2"/>
        <v>0.4409245263138995</v>
      </c>
      <c r="E6" s="11" t="s">
        <v>517</v>
      </c>
      <c r="F6" s="9">
        <v>50</v>
      </c>
      <c r="G6">
        <v>210</v>
      </c>
      <c r="H6">
        <v>7</v>
      </c>
      <c r="I6" s="10">
        <v>2.5</v>
      </c>
      <c r="J6" s="6">
        <v>0</v>
      </c>
      <c r="K6" s="6">
        <v>23</v>
      </c>
      <c r="L6" s="6">
        <v>16</v>
      </c>
      <c r="M6" s="6">
        <v>15</v>
      </c>
      <c r="N6" s="6">
        <v>2</v>
      </c>
      <c r="O6" s="2">
        <f t="shared" si="3"/>
        <v>4.2</v>
      </c>
      <c r="P6" s="16">
        <f t="shared" si="4"/>
        <v>28.571428571428573</v>
      </c>
      <c r="Q6" s="9">
        <f t="shared" si="5"/>
        <v>30</v>
      </c>
      <c r="R6" s="16">
        <f t="shared" si="6"/>
        <v>10.714285714285714</v>
      </c>
      <c r="S6" s="16">
        <f t="shared" si="7"/>
        <v>43.80952380952381</v>
      </c>
      <c r="T6" s="42">
        <f t="shared" si="8"/>
        <v>4</v>
      </c>
      <c r="U6" s="44">
        <f t="shared" si="9"/>
        <v>4</v>
      </c>
      <c r="V6" s="9">
        <f t="shared" si="10"/>
        <v>60</v>
      </c>
      <c r="W6" s="9">
        <f t="shared" si="11"/>
        <v>28</v>
      </c>
      <c r="X6" s="9">
        <f t="shared" si="12"/>
        <v>92</v>
      </c>
      <c r="Y6" s="9">
        <f t="shared" si="13"/>
        <v>8</v>
      </c>
      <c r="Z6">
        <f t="shared" si="14"/>
        <v>0</v>
      </c>
      <c r="AA6" s="2">
        <f t="shared" si="15"/>
        <v>10</v>
      </c>
      <c r="AB6" s="9" t="s">
        <v>1468</v>
      </c>
      <c r="AC6" s="9"/>
    </row>
    <row r="7" spans="1:29" ht="12.75">
      <c r="A7" s="9">
        <f t="shared" si="0"/>
        <v>226.66666666666666</v>
      </c>
      <c r="B7">
        <v>40</v>
      </c>
      <c r="C7" s="2">
        <f t="shared" si="1"/>
        <v>1.4109584842044784</v>
      </c>
      <c r="D7" s="2">
        <f t="shared" si="2"/>
        <v>0.0881849052627799</v>
      </c>
      <c r="E7" s="11" t="s">
        <v>604</v>
      </c>
      <c r="F7" s="9">
        <v>30</v>
      </c>
      <c r="G7">
        <v>170</v>
      </c>
      <c r="H7">
        <v>15</v>
      </c>
      <c r="I7" s="10">
        <v>1</v>
      </c>
      <c r="J7">
        <v>0</v>
      </c>
      <c r="K7">
        <v>5</v>
      </c>
      <c r="L7">
        <v>1</v>
      </c>
      <c r="M7">
        <v>7</v>
      </c>
      <c r="N7">
        <v>4</v>
      </c>
      <c r="O7" s="2">
        <f t="shared" si="3"/>
        <v>5.666666666666667</v>
      </c>
      <c r="P7" s="9">
        <f t="shared" si="4"/>
        <v>16.470588235294116</v>
      </c>
      <c r="Q7" s="29">
        <f t="shared" si="5"/>
        <v>79.41176470588235</v>
      </c>
      <c r="R7" s="42">
        <f t="shared" si="6"/>
        <v>5.294117647058823</v>
      </c>
      <c r="S7" s="16">
        <f t="shared" si="7"/>
        <v>11.764705882352942</v>
      </c>
      <c r="T7" s="29">
        <f t="shared" si="8"/>
        <v>13.333333333333334</v>
      </c>
      <c r="U7" s="44">
        <f t="shared" si="9"/>
        <v>1.3333333333333333</v>
      </c>
      <c r="V7" s="9">
        <f t="shared" si="10"/>
        <v>9.333333333333332</v>
      </c>
      <c r="W7" s="9">
        <f t="shared" si="11"/>
        <v>20</v>
      </c>
      <c r="X7" s="9">
        <f t="shared" si="12"/>
        <v>6.666666666666666</v>
      </c>
      <c r="Y7" s="9">
        <f t="shared" si="13"/>
        <v>5.333333333333333</v>
      </c>
      <c r="Z7">
        <f t="shared" si="14"/>
        <v>0</v>
      </c>
      <c r="AA7" s="2">
        <f t="shared" si="15"/>
        <v>1.3333333333333333</v>
      </c>
      <c r="AB7" s="9" t="s">
        <v>527</v>
      </c>
      <c r="AC7" s="9"/>
    </row>
    <row r="8" spans="1:29" ht="12.75">
      <c r="A8" s="9">
        <f t="shared" si="0"/>
        <v>220</v>
      </c>
      <c r="B8">
        <v>56</v>
      </c>
      <c r="C8" s="2">
        <f t="shared" si="1"/>
        <v>1.97534187788627</v>
      </c>
      <c r="D8" s="2">
        <f t="shared" si="2"/>
        <v>0.12345886736789187</v>
      </c>
      <c r="E8" s="11" t="s">
        <v>606</v>
      </c>
      <c r="F8">
        <v>56</v>
      </c>
      <c r="G8">
        <v>220</v>
      </c>
      <c r="H8">
        <v>6</v>
      </c>
      <c r="I8" s="10">
        <v>4</v>
      </c>
      <c r="J8">
        <v>2.5</v>
      </c>
      <c r="K8">
        <v>34</v>
      </c>
      <c r="L8">
        <v>13</v>
      </c>
      <c r="M8">
        <v>8</v>
      </c>
      <c r="N8">
        <v>2</v>
      </c>
      <c r="O8" s="2">
        <f aca="true" t="shared" si="16" ref="O8:O15">G8/F8</f>
        <v>3.9285714285714284</v>
      </c>
      <c r="P8" s="16">
        <f t="shared" si="4"/>
        <v>14.545454545454545</v>
      </c>
      <c r="Q8" s="9">
        <f t="shared" si="5"/>
        <v>24.545454545454547</v>
      </c>
      <c r="R8" s="29">
        <f t="shared" si="6"/>
        <v>16.363636363636363</v>
      </c>
      <c r="S8" s="16">
        <f t="shared" si="7"/>
        <v>61.81818181818182</v>
      </c>
      <c r="T8" s="16">
        <f t="shared" si="8"/>
        <v>3.5714285714285716</v>
      </c>
      <c r="U8" s="44">
        <f t="shared" si="9"/>
        <v>1</v>
      </c>
      <c r="V8" s="16">
        <f t="shared" si="10"/>
        <v>8</v>
      </c>
      <c r="W8" s="9">
        <f t="shared" si="11"/>
        <v>6</v>
      </c>
      <c r="X8" s="9">
        <f t="shared" si="12"/>
        <v>34</v>
      </c>
      <c r="Y8" s="16">
        <f t="shared" si="13"/>
        <v>2</v>
      </c>
      <c r="Z8">
        <f t="shared" si="14"/>
        <v>2.5</v>
      </c>
      <c r="AA8" s="2">
        <f t="shared" si="15"/>
        <v>4</v>
      </c>
      <c r="AB8" s="11"/>
      <c r="AC8" s="9"/>
    </row>
    <row r="9" spans="1:29" ht="12.75">
      <c r="A9" s="9">
        <f t="shared" si="0"/>
        <v>420</v>
      </c>
      <c r="B9">
        <v>96</v>
      </c>
      <c r="C9" s="2">
        <f t="shared" si="1"/>
        <v>3.3863003620907484</v>
      </c>
      <c r="D9" s="2">
        <f t="shared" si="2"/>
        <v>0.21164377263067177</v>
      </c>
      <c r="E9" s="11" t="s">
        <v>1761</v>
      </c>
      <c r="F9">
        <v>48</v>
      </c>
      <c r="G9">
        <v>210</v>
      </c>
      <c r="H9">
        <v>9</v>
      </c>
      <c r="I9" s="10">
        <v>3</v>
      </c>
      <c r="J9">
        <v>17</v>
      </c>
      <c r="K9">
        <v>20</v>
      </c>
      <c r="L9">
        <v>1</v>
      </c>
      <c r="M9">
        <v>17</v>
      </c>
      <c r="N9">
        <v>6</v>
      </c>
      <c r="O9" s="2">
        <f t="shared" si="16"/>
        <v>4.375</v>
      </c>
      <c r="P9" s="29">
        <f t="shared" si="4"/>
        <v>32.38095238095238</v>
      </c>
      <c r="Q9" s="9">
        <f t="shared" si="5"/>
        <v>38.57142857142857</v>
      </c>
      <c r="R9" s="16">
        <f t="shared" si="6"/>
        <v>12.857142857142858</v>
      </c>
      <c r="S9" s="16">
        <f t="shared" si="7"/>
        <v>38.095238095238095</v>
      </c>
      <c r="T9" s="29">
        <f t="shared" si="8"/>
        <v>12.5</v>
      </c>
      <c r="U9" s="44">
        <f t="shared" si="9"/>
        <v>2</v>
      </c>
      <c r="V9" s="16">
        <f t="shared" si="10"/>
        <v>34</v>
      </c>
      <c r="W9" s="9">
        <f t="shared" si="11"/>
        <v>18</v>
      </c>
      <c r="X9" s="9">
        <f t="shared" si="12"/>
        <v>40</v>
      </c>
      <c r="Y9" s="16">
        <f t="shared" si="13"/>
        <v>12</v>
      </c>
      <c r="Z9">
        <f t="shared" si="14"/>
        <v>34</v>
      </c>
      <c r="AA9" s="2">
        <f t="shared" si="15"/>
        <v>6</v>
      </c>
      <c r="AB9" s="11" t="s">
        <v>607</v>
      </c>
      <c r="AC9" s="9"/>
    </row>
    <row r="10" spans="1:29" ht="12.75">
      <c r="A10" s="9">
        <f t="shared" si="0"/>
        <v>340</v>
      </c>
      <c r="B10">
        <v>90</v>
      </c>
      <c r="C10" s="2">
        <f t="shared" si="1"/>
        <v>3.1746565894600765</v>
      </c>
      <c r="D10" s="2">
        <f t="shared" si="2"/>
        <v>0.19841603684125478</v>
      </c>
      <c r="E10" s="11" t="s">
        <v>1762</v>
      </c>
      <c r="F10">
        <v>45</v>
      </c>
      <c r="G10">
        <v>170</v>
      </c>
      <c r="H10">
        <v>5</v>
      </c>
      <c r="I10" s="10">
        <v>3.5</v>
      </c>
      <c r="J10">
        <v>0</v>
      </c>
      <c r="K10">
        <v>22</v>
      </c>
      <c r="L10">
        <v>8</v>
      </c>
      <c r="M10">
        <v>11</v>
      </c>
      <c r="N10">
        <v>5</v>
      </c>
      <c r="O10" s="2">
        <f t="shared" si="16"/>
        <v>3.7777777777777777</v>
      </c>
      <c r="P10" s="16">
        <f t="shared" si="4"/>
        <v>25.88235294117647</v>
      </c>
      <c r="Q10" s="9">
        <f t="shared" si="5"/>
        <v>26.470588235294116</v>
      </c>
      <c r="R10" s="16">
        <f t="shared" si="6"/>
        <v>18.529411764705884</v>
      </c>
      <c r="S10" s="16">
        <f t="shared" si="7"/>
        <v>51.76470588235294</v>
      </c>
      <c r="T10" s="16">
        <f t="shared" si="8"/>
        <v>11.11111111111111</v>
      </c>
      <c r="U10" s="44">
        <f t="shared" si="9"/>
        <v>2</v>
      </c>
      <c r="V10" s="16">
        <f t="shared" si="10"/>
        <v>22</v>
      </c>
      <c r="W10" s="9">
        <f t="shared" si="11"/>
        <v>10</v>
      </c>
      <c r="X10" s="9">
        <f t="shared" si="12"/>
        <v>44</v>
      </c>
      <c r="Y10" s="16">
        <f t="shared" si="13"/>
        <v>10</v>
      </c>
      <c r="Z10">
        <f t="shared" si="14"/>
        <v>0</v>
      </c>
      <c r="AA10" s="2">
        <f t="shared" si="15"/>
        <v>7</v>
      </c>
      <c r="AB10" s="11"/>
      <c r="AC10" s="9"/>
    </row>
    <row r="11" spans="1:29" ht="12.75">
      <c r="A11" s="9">
        <f t="shared" si="0"/>
        <v>440</v>
      </c>
      <c r="B11">
        <f>62*2</f>
        <v>124</v>
      </c>
      <c r="C11" s="2">
        <f t="shared" si="1"/>
        <v>4.373971301033883</v>
      </c>
      <c r="D11" s="2">
        <f t="shared" si="2"/>
        <v>0.2733732063146177</v>
      </c>
      <c r="E11" s="11" t="s">
        <v>1763</v>
      </c>
      <c r="F11">
        <v>62</v>
      </c>
      <c r="G11">
        <v>220</v>
      </c>
      <c r="H11">
        <v>4.5</v>
      </c>
      <c r="I11" s="10">
        <v>0.5</v>
      </c>
      <c r="J11">
        <v>0</v>
      </c>
      <c r="K11">
        <v>41</v>
      </c>
      <c r="L11">
        <v>20</v>
      </c>
      <c r="M11">
        <v>5</v>
      </c>
      <c r="N11">
        <v>5</v>
      </c>
      <c r="O11" s="2">
        <f t="shared" si="16"/>
        <v>3.5483870967741935</v>
      </c>
      <c r="P11" s="16">
        <f t="shared" si="4"/>
        <v>9.090909090909092</v>
      </c>
      <c r="Q11" s="9">
        <f t="shared" si="5"/>
        <v>18.40909090909091</v>
      </c>
      <c r="R11" s="16">
        <f t="shared" si="6"/>
        <v>2.0454545454545454</v>
      </c>
      <c r="S11" s="16">
        <f t="shared" si="7"/>
        <v>74.54545454545455</v>
      </c>
      <c r="T11" s="16">
        <f t="shared" si="8"/>
        <v>8.064516129032258</v>
      </c>
      <c r="U11" s="44">
        <f t="shared" si="9"/>
        <v>2</v>
      </c>
      <c r="V11" s="16">
        <f t="shared" si="10"/>
        <v>10</v>
      </c>
      <c r="W11" s="9">
        <f t="shared" si="11"/>
        <v>9</v>
      </c>
      <c r="X11" s="9">
        <f t="shared" si="12"/>
        <v>82</v>
      </c>
      <c r="Y11" s="16">
        <f t="shared" si="13"/>
        <v>10</v>
      </c>
      <c r="Z11">
        <f t="shared" si="14"/>
        <v>0</v>
      </c>
      <c r="AA11" s="2">
        <f t="shared" si="15"/>
        <v>1</v>
      </c>
      <c r="AB11" s="11"/>
      <c r="AC11" s="9"/>
    </row>
    <row r="12" spans="1:29" ht="12.75">
      <c r="A12" s="9">
        <f t="shared" si="0"/>
        <v>760</v>
      </c>
      <c r="B12">
        <f>78+97+91</f>
        <v>266</v>
      </c>
      <c r="C12" s="2">
        <f t="shared" si="1"/>
        <v>9.382873919959781</v>
      </c>
      <c r="D12" s="2">
        <f t="shared" si="2"/>
        <v>0.5864296199974863</v>
      </c>
      <c r="E12" s="11" t="s">
        <v>1672</v>
      </c>
      <c r="F12" s="9">
        <v>28</v>
      </c>
      <c r="G12">
        <v>80</v>
      </c>
      <c r="H12">
        <v>0.5</v>
      </c>
      <c r="I12" s="10">
        <v>0</v>
      </c>
      <c r="J12">
        <v>25</v>
      </c>
      <c r="K12">
        <v>5</v>
      </c>
      <c r="L12">
        <v>5</v>
      </c>
      <c r="M12">
        <v>13</v>
      </c>
      <c r="N12">
        <v>0</v>
      </c>
      <c r="O12" s="2">
        <f t="shared" si="16"/>
        <v>2.857142857142857</v>
      </c>
      <c r="P12" s="29">
        <f t="shared" si="4"/>
        <v>65</v>
      </c>
      <c r="Q12" s="9">
        <f t="shared" si="5"/>
        <v>5.625</v>
      </c>
      <c r="R12" s="16">
        <f t="shared" si="6"/>
        <v>0</v>
      </c>
      <c r="S12" s="16">
        <f t="shared" si="7"/>
        <v>25</v>
      </c>
      <c r="T12" s="42">
        <f t="shared" si="8"/>
        <v>0</v>
      </c>
      <c r="U12" s="44">
        <f t="shared" si="9"/>
        <v>9.5</v>
      </c>
      <c r="V12" s="9">
        <f t="shared" si="10"/>
        <v>123.5</v>
      </c>
      <c r="W12" s="9">
        <f t="shared" si="11"/>
        <v>4.75</v>
      </c>
      <c r="X12" s="9">
        <f t="shared" si="12"/>
        <v>47.5</v>
      </c>
      <c r="Y12" s="9">
        <f t="shared" si="13"/>
        <v>0</v>
      </c>
      <c r="Z12" s="9">
        <f t="shared" si="14"/>
        <v>237.5</v>
      </c>
      <c r="AA12" s="2">
        <f t="shared" si="15"/>
        <v>0</v>
      </c>
      <c r="AB12" s="9" t="s">
        <v>1345</v>
      </c>
      <c r="AC12" s="9"/>
    </row>
    <row r="13" spans="1:29" ht="12.75">
      <c r="A13" s="9">
        <f t="shared" si="0"/>
        <v>362.85714285714283</v>
      </c>
      <c r="B13">
        <v>127</v>
      </c>
      <c r="C13" s="2">
        <f t="shared" si="1"/>
        <v>4.479793187349219</v>
      </c>
      <c r="D13" s="2">
        <f t="shared" si="2"/>
        <v>0.27998707420932617</v>
      </c>
      <c r="E13" s="11" t="s">
        <v>1674</v>
      </c>
      <c r="F13" s="9">
        <v>28</v>
      </c>
      <c r="G13">
        <v>80</v>
      </c>
      <c r="H13">
        <v>0.5</v>
      </c>
      <c r="I13" s="10">
        <v>0</v>
      </c>
      <c r="J13">
        <v>30</v>
      </c>
      <c r="K13">
        <v>7</v>
      </c>
      <c r="L13">
        <v>5</v>
      </c>
      <c r="M13">
        <v>12</v>
      </c>
      <c r="N13">
        <v>0</v>
      </c>
      <c r="O13" s="2">
        <f t="shared" si="16"/>
        <v>2.857142857142857</v>
      </c>
      <c r="P13" s="29">
        <f t="shared" si="4"/>
        <v>60</v>
      </c>
      <c r="Q13" s="9">
        <f t="shared" si="5"/>
        <v>5.625</v>
      </c>
      <c r="R13" s="16">
        <f t="shared" si="6"/>
        <v>0</v>
      </c>
      <c r="S13" s="16">
        <f t="shared" si="7"/>
        <v>35</v>
      </c>
      <c r="T13" s="42">
        <f t="shared" si="8"/>
        <v>0</v>
      </c>
      <c r="U13" s="44">
        <f t="shared" si="9"/>
        <v>4.535714285714286</v>
      </c>
      <c r="V13" s="9">
        <f t="shared" si="10"/>
        <v>54.42857142857143</v>
      </c>
      <c r="W13" s="9">
        <f t="shared" si="11"/>
        <v>2.267857142857143</v>
      </c>
      <c r="X13" s="9">
        <f t="shared" si="12"/>
        <v>31.75</v>
      </c>
      <c r="Y13" s="9">
        <f t="shared" si="13"/>
        <v>0</v>
      </c>
      <c r="Z13">
        <f t="shared" si="14"/>
        <v>136.07142857142856</v>
      </c>
      <c r="AA13" s="2">
        <f t="shared" si="15"/>
        <v>0</v>
      </c>
      <c r="AB13" s="9"/>
      <c r="AC13" s="9"/>
    </row>
    <row r="14" spans="1:29" ht="12.75">
      <c r="A14" s="9">
        <f t="shared" si="0"/>
        <v>899.2</v>
      </c>
      <c r="B14">
        <f>234-(4*2.3)</f>
        <v>224.8</v>
      </c>
      <c r="C14" s="2">
        <f aca="true" t="shared" si="17" ref="C14:C25">B14/28.349523</f>
        <v>7.9295866812291695</v>
      </c>
      <c r="D14" s="2">
        <f t="shared" si="2"/>
        <v>0.4955991675768231</v>
      </c>
      <c r="E14" s="11" t="s">
        <v>1678</v>
      </c>
      <c r="F14" s="9">
        <v>15</v>
      </c>
      <c r="G14">
        <v>60</v>
      </c>
      <c r="H14">
        <v>0</v>
      </c>
      <c r="I14" s="10">
        <v>0</v>
      </c>
      <c r="J14" s="6">
        <v>0</v>
      </c>
      <c r="K14" s="6">
        <v>14</v>
      </c>
      <c r="L14" s="6">
        <v>12</v>
      </c>
      <c r="M14" s="6">
        <v>0</v>
      </c>
      <c r="N14" s="6">
        <v>0</v>
      </c>
      <c r="O14" s="2">
        <f t="shared" si="16"/>
        <v>4</v>
      </c>
      <c r="P14" s="42">
        <f t="shared" si="4"/>
        <v>0</v>
      </c>
      <c r="Q14" s="9">
        <f t="shared" si="5"/>
        <v>0</v>
      </c>
      <c r="R14" s="42">
        <f t="shared" si="6"/>
        <v>0</v>
      </c>
      <c r="S14" s="29">
        <f t="shared" si="7"/>
        <v>93.33333333333333</v>
      </c>
      <c r="T14" s="42">
        <f t="shared" si="8"/>
        <v>0</v>
      </c>
      <c r="U14" s="44">
        <f t="shared" si="9"/>
        <v>14.986666666666668</v>
      </c>
      <c r="V14" s="16">
        <f t="shared" si="10"/>
        <v>0</v>
      </c>
      <c r="W14" s="9">
        <f t="shared" si="11"/>
        <v>0</v>
      </c>
      <c r="X14" s="9">
        <f t="shared" si="12"/>
        <v>209.81333333333336</v>
      </c>
      <c r="Y14" s="9">
        <f t="shared" si="13"/>
        <v>0</v>
      </c>
      <c r="Z14">
        <f t="shared" si="14"/>
        <v>0</v>
      </c>
      <c r="AA14" s="2">
        <f t="shared" si="15"/>
        <v>0</v>
      </c>
      <c r="AB14" s="9" t="s">
        <v>2062</v>
      </c>
      <c r="AC14" s="9"/>
    </row>
    <row r="15" spans="1:29" ht="12.75">
      <c r="A15" s="9">
        <f t="shared" si="0"/>
        <v>633</v>
      </c>
      <c r="B15">
        <f>178-(4*2.3)</f>
        <v>168.8</v>
      </c>
      <c r="C15" s="2">
        <f t="shared" si="17"/>
        <v>5.954244803342899</v>
      </c>
      <c r="D15" s="2">
        <f t="shared" si="2"/>
        <v>0.3721403002089312</v>
      </c>
      <c r="E15" s="11" t="s">
        <v>870</v>
      </c>
      <c r="F15" s="9">
        <v>16</v>
      </c>
      <c r="G15">
        <v>60</v>
      </c>
      <c r="H15">
        <v>0</v>
      </c>
      <c r="I15" s="10">
        <v>0</v>
      </c>
      <c r="J15" s="6">
        <v>0</v>
      </c>
      <c r="K15" s="6">
        <v>16</v>
      </c>
      <c r="L15" s="6">
        <v>10</v>
      </c>
      <c r="M15" s="6">
        <v>0</v>
      </c>
      <c r="N15" s="6">
        <v>0</v>
      </c>
      <c r="O15" s="2">
        <f t="shared" si="16"/>
        <v>3.75</v>
      </c>
      <c r="P15" s="42">
        <f t="shared" si="4"/>
        <v>0</v>
      </c>
      <c r="Q15" s="9">
        <f t="shared" si="5"/>
        <v>0</v>
      </c>
      <c r="R15" s="42">
        <f t="shared" si="6"/>
        <v>0</v>
      </c>
      <c r="S15" s="29">
        <f t="shared" si="7"/>
        <v>106.66666666666667</v>
      </c>
      <c r="T15" s="42">
        <f t="shared" si="8"/>
        <v>0</v>
      </c>
      <c r="U15" s="44">
        <f t="shared" si="9"/>
        <v>10.55</v>
      </c>
      <c r="V15" s="16">
        <f t="shared" si="10"/>
        <v>0</v>
      </c>
      <c r="W15" s="9">
        <f t="shared" si="11"/>
        <v>0</v>
      </c>
      <c r="X15" s="9">
        <f t="shared" si="12"/>
        <v>168.8</v>
      </c>
      <c r="Y15" s="9">
        <f t="shared" si="13"/>
        <v>0</v>
      </c>
      <c r="Z15">
        <f t="shared" si="14"/>
        <v>0</v>
      </c>
      <c r="AA15" s="2">
        <f t="shared" si="15"/>
        <v>0</v>
      </c>
      <c r="AB15" s="9" t="s">
        <v>2062</v>
      </c>
      <c r="AC15" s="9"/>
    </row>
    <row r="16" spans="1:29" ht="12.75">
      <c r="A16" s="9">
        <v>480</v>
      </c>
      <c r="B16">
        <f>1041-51</f>
        <v>990</v>
      </c>
      <c r="C16" s="2">
        <f>B16/28.349523</f>
        <v>34.92122248406084</v>
      </c>
      <c r="D16" s="2">
        <f>C16/16</f>
        <v>2.1825764052538026</v>
      </c>
      <c r="E16" s="11" t="s">
        <v>434</v>
      </c>
      <c r="G16" s="6"/>
      <c r="I16" s="10"/>
      <c r="O16" s="2"/>
      <c r="P16" s="42"/>
      <c r="Q16" s="29"/>
      <c r="R16" s="29"/>
      <c r="S16" s="16"/>
      <c r="T16" s="9"/>
      <c r="U16" s="44"/>
      <c r="V16" s="9">
        <v>0</v>
      </c>
      <c r="W16" s="9">
        <v>0</v>
      </c>
      <c r="X16" s="9">
        <v>127.2</v>
      </c>
      <c r="Y16" s="9">
        <v>0</v>
      </c>
      <c r="Z16" s="9">
        <v>0</v>
      </c>
      <c r="AA16" s="2">
        <v>0</v>
      </c>
      <c r="AC16" s="9"/>
    </row>
    <row r="17" spans="1:29" ht="12.75">
      <c r="A17" s="9">
        <f>G17*U17</f>
        <v>656.25</v>
      </c>
      <c r="B17">
        <f>86+89</f>
        <v>175</v>
      </c>
      <c r="C17" s="2">
        <f t="shared" si="17"/>
        <v>6.172943368394593</v>
      </c>
      <c r="D17" s="2">
        <f aca="true" t="shared" si="18" ref="D17:D25">C17/16</f>
        <v>0.38580896052466207</v>
      </c>
      <c r="E17" s="11" t="s">
        <v>395</v>
      </c>
      <c r="F17" s="9">
        <v>16</v>
      </c>
      <c r="G17">
        <v>60</v>
      </c>
      <c r="H17">
        <v>0</v>
      </c>
      <c r="I17" s="10">
        <v>0</v>
      </c>
      <c r="J17" s="6">
        <v>0</v>
      </c>
      <c r="K17" s="6">
        <v>15.9</v>
      </c>
      <c r="L17" s="6">
        <v>15</v>
      </c>
      <c r="M17" s="6">
        <v>0</v>
      </c>
      <c r="N17" s="6">
        <v>0</v>
      </c>
      <c r="O17" s="2">
        <f aca="true" t="shared" si="19" ref="O17:O24">G17/F17</f>
        <v>3.75</v>
      </c>
      <c r="P17" s="42">
        <f>100*4*M17/G17</f>
        <v>0</v>
      </c>
      <c r="Q17" s="9">
        <f>100*9*H17/G17</f>
        <v>0</v>
      </c>
      <c r="R17" s="42">
        <f>100*(I17*9)/G17</f>
        <v>0</v>
      </c>
      <c r="S17" s="29">
        <f>100*K17*4/G17</f>
        <v>106</v>
      </c>
      <c r="T17" s="42">
        <f>100*N17/F17</f>
        <v>0</v>
      </c>
      <c r="U17" s="44">
        <f>B17/F17</f>
        <v>10.9375</v>
      </c>
      <c r="V17" s="16">
        <f>U17*M17</f>
        <v>0</v>
      </c>
      <c r="W17" s="9">
        <f>U17*H17</f>
        <v>0</v>
      </c>
      <c r="X17" s="141">
        <f>U17*K17</f>
        <v>173.90625</v>
      </c>
      <c r="Y17" s="9">
        <f>N17*U17</f>
        <v>0</v>
      </c>
      <c r="Z17">
        <f>U17*J17</f>
        <v>0</v>
      </c>
      <c r="AA17" s="2">
        <f>I17*U17</f>
        <v>0</v>
      </c>
      <c r="AB17" s="9" t="s">
        <v>249</v>
      </c>
      <c r="AC17" s="9"/>
    </row>
    <row r="18" spans="1:29" ht="12.75">
      <c r="A18" s="9">
        <f t="shared" si="0"/>
        <v>649.4117647058824</v>
      </c>
      <c r="B18">
        <f>97+87</f>
        <v>184</v>
      </c>
      <c r="C18" s="2">
        <f t="shared" si="17"/>
        <v>6.4904090273406005</v>
      </c>
      <c r="D18" s="2">
        <f t="shared" si="18"/>
        <v>0.40565056420878753</v>
      </c>
      <c r="E18" s="11" t="s">
        <v>1628</v>
      </c>
      <c r="F18" s="9">
        <v>17</v>
      </c>
      <c r="G18">
        <v>60</v>
      </c>
      <c r="H18">
        <v>0</v>
      </c>
      <c r="I18" s="10">
        <v>0</v>
      </c>
      <c r="J18" s="6">
        <v>0</v>
      </c>
      <c r="K18" s="6">
        <v>15.9</v>
      </c>
      <c r="L18" s="6">
        <v>16</v>
      </c>
      <c r="M18" s="6">
        <v>0</v>
      </c>
      <c r="N18" s="6">
        <v>0</v>
      </c>
      <c r="O18" s="2">
        <f t="shared" si="19"/>
        <v>3.5294117647058822</v>
      </c>
      <c r="P18" s="42">
        <f t="shared" si="4"/>
        <v>0</v>
      </c>
      <c r="Q18" s="9">
        <f t="shared" si="5"/>
        <v>0</v>
      </c>
      <c r="R18" s="42">
        <f t="shared" si="6"/>
        <v>0</v>
      </c>
      <c r="S18" s="29">
        <f t="shared" si="7"/>
        <v>106</v>
      </c>
      <c r="T18" s="42">
        <f t="shared" si="8"/>
        <v>0</v>
      </c>
      <c r="U18" s="44">
        <f t="shared" si="9"/>
        <v>10.823529411764707</v>
      </c>
      <c r="V18" s="16">
        <f t="shared" si="10"/>
        <v>0</v>
      </c>
      <c r="W18" s="9">
        <f t="shared" si="11"/>
        <v>0</v>
      </c>
      <c r="X18" s="141">
        <f t="shared" si="12"/>
        <v>172.09411764705882</v>
      </c>
      <c r="Y18" s="9">
        <f t="shared" si="13"/>
        <v>0</v>
      </c>
      <c r="Z18">
        <f t="shared" si="14"/>
        <v>0</v>
      </c>
      <c r="AA18" s="2">
        <f t="shared" si="15"/>
        <v>0</v>
      </c>
      <c r="AB18" s="9" t="s">
        <v>249</v>
      </c>
      <c r="AC18" s="9"/>
    </row>
    <row r="19" spans="1:29" ht="12.75">
      <c r="A19" s="9">
        <f>G19*U19</f>
        <v>190</v>
      </c>
      <c r="B19">
        <v>30</v>
      </c>
      <c r="C19" s="2">
        <f t="shared" si="17"/>
        <v>1.058218863153359</v>
      </c>
      <c r="D19" s="2">
        <f t="shared" si="18"/>
        <v>0.06613867894708493</v>
      </c>
      <c r="E19" s="11" t="s">
        <v>1848</v>
      </c>
      <c r="F19" s="9">
        <v>30</v>
      </c>
      <c r="G19">
        <v>190</v>
      </c>
      <c r="H19">
        <v>15</v>
      </c>
      <c r="I19" s="10">
        <v>4</v>
      </c>
      <c r="J19">
        <v>0</v>
      </c>
      <c r="K19">
        <v>9</v>
      </c>
      <c r="L19">
        <v>1</v>
      </c>
      <c r="M19">
        <v>4</v>
      </c>
      <c r="N19">
        <v>4</v>
      </c>
      <c r="O19" s="32">
        <f t="shared" si="19"/>
        <v>6.333333333333333</v>
      </c>
      <c r="P19" s="42">
        <f t="shared" si="4"/>
        <v>8.421052631578947</v>
      </c>
      <c r="Q19" s="29">
        <f t="shared" si="5"/>
        <v>71.05263157894737</v>
      </c>
      <c r="R19" s="29">
        <f t="shared" si="6"/>
        <v>18.94736842105263</v>
      </c>
      <c r="S19" s="16">
        <f t="shared" si="7"/>
        <v>18.94736842105263</v>
      </c>
      <c r="T19" s="29">
        <f t="shared" si="8"/>
        <v>13.333333333333334</v>
      </c>
      <c r="U19" s="44">
        <f t="shared" si="9"/>
        <v>1</v>
      </c>
      <c r="V19" s="9">
        <f t="shared" si="10"/>
        <v>4</v>
      </c>
      <c r="W19" s="9">
        <f t="shared" si="11"/>
        <v>15</v>
      </c>
      <c r="X19" s="9">
        <f t="shared" si="12"/>
        <v>9</v>
      </c>
      <c r="Y19" s="9">
        <f t="shared" si="13"/>
        <v>4</v>
      </c>
      <c r="Z19">
        <f t="shared" si="14"/>
        <v>0</v>
      </c>
      <c r="AA19" s="2">
        <f t="shared" si="15"/>
        <v>4</v>
      </c>
      <c r="AB19" s="9" t="s">
        <v>1593</v>
      </c>
      <c r="AC19" s="9"/>
    </row>
    <row r="20" spans="1:30" s="151" customFormat="1" ht="12.75">
      <c r="A20" s="161">
        <f t="shared" si="0"/>
        <v>1579.2</v>
      </c>
      <c r="B20" s="162">
        <f>274-(2.7*4)</f>
        <v>263.2</v>
      </c>
      <c r="C20" s="163">
        <f t="shared" si="17"/>
        <v>9.284106826065468</v>
      </c>
      <c r="D20" s="163">
        <f t="shared" si="18"/>
        <v>0.5802566766290917</v>
      </c>
      <c r="E20" s="164" t="s">
        <v>564</v>
      </c>
      <c r="F20" s="161">
        <v>30</v>
      </c>
      <c r="G20" s="162">
        <v>180</v>
      </c>
      <c r="H20" s="162">
        <v>13</v>
      </c>
      <c r="I20" s="163">
        <v>1.5</v>
      </c>
      <c r="J20" s="162">
        <v>0</v>
      </c>
      <c r="K20" s="162">
        <v>9</v>
      </c>
      <c r="L20" s="162">
        <v>2</v>
      </c>
      <c r="M20" s="162">
        <v>6</v>
      </c>
      <c r="N20" s="162">
        <v>3</v>
      </c>
      <c r="O20" s="165">
        <f t="shared" si="19"/>
        <v>6</v>
      </c>
      <c r="P20" s="166">
        <f t="shared" si="4"/>
        <v>13.333333333333334</v>
      </c>
      <c r="Q20" s="166">
        <f t="shared" si="5"/>
        <v>65</v>
      </c>
      <c r="R20" s="166">
        <f t="shared" si="6"/>
        <v>7.5</v>
      </c>
      <c r="S20" s="166">
        <f t="shared" si="7"/>
        <v>20</v>
      </c>
      <c r="T20" s="167">
        <f t="shared" si="8"/>
        <v>10</v>
      </c>
      <c r="U20" s="168">
        <f t="shared" si="9"/>
        <v>8.773333333333333</v>
      </c>
      <c r="V20" s="166">
        <f t="shared" si="10"/>
        <v>52.64</v>
      </c>
      <c r="W20" s="166">
        <f t="shared" si="11"/>
        <v>114.05333333333334</v>
      </c>
      <c r="X20" s="166">
        <f t="shared" si="12"/>
        <v>78.96000000000001</v>
      </c>
      <c r="Y20" s="166">
        <f t="shared" si="13"/>
        <v>26.32</v>
      </c>
      <c r="Z20" s="166">
        <f t="shared" si="14"/>
        <v>0</v>
      </c>
      <c r="AA20" s="169">
        <f t="shared" si="15"/>
        <v>13.16</v>
      </c>
      <c r="AB20" s="166" t="s">
        <v>570</v>
      </c>
      <c r="AC20" s="166"/>
      <c r="AD20" s="170"/>
    </row>
    <row r="21" spans="1:28" ht="12.75">
      <c r="A21" s="9">
        <f t="shared" si="0"/>
        <v>2547.0967741935483</v>
      </c>
      <c r="B21" s="12">
        <v>329</v>
      </c>
      <c r="C21" s="2">
        <f t="shared" si="17"/>
        <v>11.605133532581835</v>
      </c>
      <c r="D21" s="2">
        <f t="shared" si="18"/>
        <v>0.7253208457863647</v>
      </c>
      <c r="E21" s="11" t="s">
        <v>539</v>
      </c>
      <c r="F21" s="9">
        <v>31</v>
      </c>
      <c r="G21">
        <v>240</v>
      </c>
      <c r="H21">
        <v>23</v>
      </c>
      <c r="I21" s="10">
        <v>3.5</v>
      </c>
      <c r="J21">
        <v>0</v>
      </c>
      <c r="K21">
        <v>4</v>
      </c>
      <c r="L21">
        <v>1</v>
      </c>
      <c r="M21">
        <v>2</v>
      </c>
      <c r="N21">
        <v>2</v>
      </c>
      <c r="O21" s="32">
        <f t="shared" si="19"/>
        <v>7.741935483870968</v>
      </c>
      <c r="P21" s="42">
        <f t="shared" si="4"/>
        <v>3.3333333333333335</v>
      </c>
      <c r="Q21" s="29">
        <f t="shared" si="5"/>
        <v>86.25</v>
      </c>
      <c r="R21" s="16">
        <f t="shared" si="6"/>
        <v>13.125</v>
      </c>
      <c r="S21" s="16">
        <f t="shared" si="7"/>
        <v>6.666666666666667</v>
      </c>
      <c r="T21" s="9">
        <f t="shared" si="8"/>
        <v>6.451612903225806</v>
      </c>
      <c r="U21" s="44">
        <f t="shared" si="9"/>
        <v>10.612903225806452</v>
      </c>
      <c r="V21" s="9">
        <f t="shared" si="10"/>
        <v>21.225806451612904</v>
      </c>
      <c r="W21" s="9">
        <f t="shared" si="11"/>
        <v>244.09677419354838</v>
      </c>
      <c r="X21" s="9">
        <f t="shared" si="12"/>
        <v>42.45161290322581</v>
      </c>
      <c r="Y21" s="9">
        <f t="shared" si="13"/>
        <v>21.225806451612904</v>
      </c>
      <c r="Z21">
        <f t="shared" si="14"/>
        <v>0</v>
      </c>
      <c r="AA21" s="2">
        <f t="shared" si="15"/>
        <v>37.145161290322584</v>
      </c>
      <c r="AB21" t="s">
        <v>1594</v>
      </c>
    </row>
    <row r="22" spans="1:29" ht="12.75">
      <c r="A22" s="9">
        <f t="shared" si="0"/>
        <v>449.95464166918657</v>
      </c>
      <c r="B22">
        <v>99.2</v>
      </c>
      <c r="C22" s="2">
        <f t="shared" si="17"/>
        <v>3.4991770408271066</v>
      </c>
      <c r="D22" s="2">
        <f t="shared" si="18"/>
        <v>0.21869856505169416</v>
      </c>
      <c r="E22" s="11" t="s">
        <v>397</v>
      </c>
      <c r="F22">
        <v>33.07</v>
      </c>
      <c r="G22" s="6">
        <v>150</v>
      </c>
      <c r="H22">
        <v>7</v>
      </c>
      <c r="I22" s="10">
        <v>4</v>
      </c>
      <c r="J22">
        <v>0</v>
      </c>
      <c r="K22">
        <v>22</v>
      </c>
      <c r="L22">
        <v>18</v>
      </c>
      <c r="M22">
        <v>2</v>
      </c>
      <c r="N22">
        <v>2</v>
      </c>
      <c r="O22" s="2">
        <f t="shared" si="19"/>
        <v>4.535833081342607</v>
      </c>
      <c r="P22" s="42">
        <f t="shared" si="4"/>
        <v>5.333333333333333</v>
      </c>
      <c r="Q22" s="29">
        <f t="shared" si="5"/>
        <v>42</v>
      </c>
      <c r="R22" s="29">
        <f t="shared" si="6"/>
        <v>24</v>
      </c>
      <c r="S22" s="16">
        <f t="shared" si="7"/>
        <v>58.666666666666664</v>
      </c>
      <c r="T22" s="9">
        <f t="shared" si="8"/>
        <v>6.047777441790142</v>
      </c>
      <c r="U22" s="44">
        <f t="shared" si="9"/>
        <v>2.9996976111279103</v>
      </c>
      <c r="V22" s="9">
        <f t="shared" si="10"/>
        <v>5.999395222255821</v>
      </c>
      <c r="W22" s="9">
        <f t="shared" si="11"/>
        <v>20.997883277895372</v>
      </c>
      <c r="X22" s="9">
        <f t="shared" si="12"/>
        <v>65.99334744481402</v>
      </c>
      <c r="Y22" s="9">
        <f t="shared" si="13"/>
        <v>5.999395222255821</v>
      </c>
      <c r="Z22">
        <f t="shared" si="14"/>
        <v>0</v>
      </c>
      <c r="AA22" s="2">
        <f t="shared" si="15"/>
        <v>11.998790444511641</v>
      </c>
      <c r="AB22" t="s">
        <v>398</v>
      </c>
      <c r="AC22" s="9"/>
    </row>
    <row r="23" spans="1:29" ht="12.75">
      <c r="A23" s="9">
        <f t="shared" si="0"/>
        <v>480</v>
      </c>
      <c r="B23">
        <v>100</v>
      </c>
      <c r="C23" s="2">
        <f t="shared" si="17"/>
        <v>3.527396210511196</v>
      </c>
      <c r="D23" s="2">
        <f t="shared" si="18"/>
        <v>0.22046226315694975</v>
      </c>
      <c r="E23" s="11" t="s">
        <v>396</v>
      </c>
      <c r="F23">
        <v>37.5</v>
      </c>
      <c r="G23" s="6">
        <v>180</v>
      </c>
      <c r="H23">
        <v>10</v>
      </c>
      <c r="I23" s="10">
        <v>6</v>
      </c>
      <c r="J23">
        <v>5</v>
      </c>
      <c r="K23">
        <v>21</v>
      </c>
      <c r="L23">
        <v>19</v>
      </c>
      <c r="M23">
        <v>2</v>
      </c>
      <c r="N23">
        <v>2</v>
      </c>
      <c r="O23" s="2">
        <f t="shared" si="19"/>
        <v>4.8</v>
      </c>
      <c r="P23" s="42">
        <f t="shared" si="4"/>
        <v>4.444444444444445</v>
      </c>
      <c r="Q23" s="29">
        <f t="shared" si="5"/>
        <v>50</v>
      </c>
      <c r="R23" s="29">
        <f t="shared" si="6"/>
        <v>30</v>
      </c>
      <c r="S23" s="16">
        <f t="shared" si="7"/>
        <v>46.666666666666664</v>
      </c>
      <c r="T23" s="9">
        <f t="shared" si="8"/>
        <v>5.333333333333333</v>
      </c>
      <c r="U23" s="44">
        <f t="shared" si="9"/>
        <v>2.6666666666666665</v>
      </c>
      <c r="V23" s="9">
        <f t="shared" si="10"/>
        <v>5.333333333333333</v>
      </c>
      <c r="W23" s="9">
        <f t="shared" si="11"/>
        <v>26.666666666666664</v>
      </c>
      <c r="X23" s="9">
        <f t="shared" si="12"/>
        <v>56</v>
      </c>
      <c r="Y23" s="9">
        <f t="shared" si="13"/>
        <v>5.333333333333333</v>
      </c>
      <c r="Z23">
        <f t="shared" si="14"/>
        <v>13.333333333333332</v>
      </c>
      <c r="AA23" s="2">
        <f t="shared" si="15"/>
        <v>16</v>
      </c>
      <c r="AB23" t="s">
        <v>1592</v>
      </c>
      <c r="AC23" s="9"/>
    </row>
    <row r="24" spans="1:29" ht="12.75">
      <c r="A24">
        <f t="shared" si="0"/>
        <v>2234.285714285714</v>
      </c>
      <c r="B24">
        <v>368</v>
      </c>
      <c r="C24" s="2">
        <f t="shared" si="17"/>
        <v>12.980818054681201</v>
      </c>
      <c r="D24" s="2">
        <f t="shared" si="18"/>
        <v>0.8113011284175751</v>
      </c>
      <c r="E24" s="11" t="s">
        <v>1845</v>
      </c>
      <c r="F24" s="9">
        <v>28</v>
      </c>
      <c r="G24">
        <v>170</v>
      </c>
      <c r="H24">
        <v>13</v>
      </c>
      <c r="I24" s="2">
        <v>3</v>
      </c>
      <c r="J24">
        <v>0</v>
      </c>
      <c r="K24">
        <v>9</v>
      </c>
      <c r="L24">
        <v>2</v>
      </c>
      <c r="M24">
        <v>5</v>
      </c>
      <c r="N24">
        <v>1</v>
      </c>
      <c r="O24" s="32">
        <f t="shared" si="19"/>
        <v>6.071428571428571</v>
      </c>
      <c r="P24" s="9">
        <f t="shared" si="4"/>
        <v>11.764705882352942</v>
      </c>
      <c r="Q24" s="9">
        <f t="shared" si="5"/>
        <v>68.82352941176471</v>
      </c>
      <c r="R24" s="29">
        <f t="shared" si="6"/>
        <v>15.882352941176471</v>
      </c>
      <c r="S24" s="16">
        <f t="shared" si="7"/>
        <v>21.176470588235293</v>
      </c>
      <c r="T24" s="9">
        <f t="shared" si="8"/>
        <v>3.5714285714285716</v>
      </c>
      <c r="U24" s="44">
        <f t="shared" si="9"/>
        <v>13.142857142857142</v>
      </c>
      <c r="V24" s="9">
        <f t="shared" si="10"/>
        <v>65.71428571428571</v>
      </c>
      <c r="W24" s="9">
        <f t="shared" si="11"/>
        <v>170.85714285714286</v>
      </c>
      <c r="X24" s="9">
        <f t="shared" si="12"/>
        <v>118.28571428571428</v>
      </c>
      <c r="Y24" s="9">
        <f t="shared" si="13"/>
        <v>13.142857142857142</v>
      </c>
      <c r="Z24">
        <f t="shared" si="14"/>
        <v>0</v>
      </c>
      <c r="AA24" s="2">
        <f t="shared" si="15"/>
        <v>39.42857142857143</v>
      </c>
      <c r="AB24" s="9" t="s">
        <v>528</v>
      </c>
      <c r="AC24" s="9"/>
    </row>
    <row r="25" spans="1:27" ht="12.75">
      <c r="A25" s="9">
        <f>SUM(A2:A24)</f>
        <v>16027.922704378141</v>
      </c>
      <c r="B25" s="9">
        <f>SUM(B2:B24)</f>
        <v>4324</v>
      </c>
      <c r="C25" s="9">
        <f t="shared" si="17"/>
        <v>152.5246121425041</v>
      </c>
      <c r="D25" s="2">
        <f t="shared" si="18"/>
        <v>9.532788258906507</v>
      </c>
      <c r="E25" s="11" t="s">
        <v>1507</v>
      </c>
      <c r="J25" s="3"/>
      <c r="K25" s="3"/>
      <c r="L25" s="3"/>
      <c r="M25" s="9"/>
      <c r="O25" s="3"/>
      <c r="V25" s="144">
        <f aca="true" t="shared" si="20" ref="V25:AA25">SUM(V2:V24)</f>
        <v>550.1747254833925</v>
      </c>
      <c r="W25" s="144">
        <f t="shared" si="20"/>
        <v>737.6896574714439</v>
      </c>
      <c r="X25" s="144">
        <f t="shared" si="20"/>
        <v>1829.421042280813</v>
      </c>
      <c r="Y25" s="9">
        <f t="shared" si="20"/>
        <v>132.85472548339254</v>
      </c>
      <c r="Z25" s="144">
        <f t="shared" si="20"/>
        <v>433.40476190476187</v>
      </c>
      <c r="AA25" s="9">
        <f t="shared" si="20"/>
        <v>172.565856496739</v>
      </c>
    </row>
    <row r="26" spans="3:28" ht="12.75">
      <c r="C26" s="2"/>
      <c r="D26" s="2"/>
      <c r="E26" s="12"/>
      <c r="F26">
        <v>3.8</v>
      </c>
      <c r="G26" t="s">
        <v>534</v>
      </c>
      <c r="I26" s="143">
        <f>A25/F26</f>
        <v>4217.8743958889845</v>
      </c>
      <c r="J26" t="s">
        <v>536</v>
      </c>
      <c r="L26" s="144">
        <f>V25/F26</f>
        <v>144.78282249562963</v>
      </c>
      <c r="M26" s="33" t="s">
        <v>1675</v>
      </c>
      <c r="P26">
        <f>Y25/F26</f>
        <v>34.96176986405067</v>
      </c>
      <c r="Q26" s="33" t="s">
        <v>1676</v>
      </c>
      <c r="V26" s="35">
        <f>4*V25</f>
        <v>2200.69890193357</v>
      </c>
      <c r="W26" s="48">
        <f>9*W25</f>
        <v>6639.206917242995</v>
      </c>
      <c r="X26" s="146">
        <f>4*X25</f>
        <v>7317.684169123252</v>
      </c>
      <c r="AA26" s="35">
        <f>9*AA25</f>
        <v>1553.092708470651</v>
      </c>
      <c r="AB26" t="s">
        <v>697</v>
      </c>
    </row>
    <row r="27" spans="2:28" ht="12.75">
      <c r="B27" s="9"/>
      <c r="C27" s="2"/>
      <c r="D27" s="2"/>
      <c r="E27" s="11"/>
      <c r="L27">
        <f>Z25/F26</f>
        <v>114.05388471177945</v>
      </c>
      <c r="M27" s="33" t="s">
        <v>605</v>
      </c>
      <c r="R27" s="144">
        <f>AA25/F26</f>
        <v>45.41206749914185</v>
      </c>
      <c r="S27" s="33" t="s">
        <v>1677</v>
      </c>
      <c r="V27" s="9">
        <f>V26*100/A25</f>
        <v>13.730406257402487</v>
      </c>
      <c r="W27" s="9">
        <f>100*W26/A25</f>
        <v>41.42275352644075</v>
      </c>
      <c r="X27" s="9">
        <f>X26*100/A25</f>
        <v>45.65584888380061</v>
      </c>
      <c r="Y27" s="145">
        <f>100*Y25/A25</f>
        <v>0.8288954715703883</v>
      </c>
      <c r="AA27" s="2">
        <f>100*AA26/A25</f>
        <v>9.689918881667756</v>
      </c>
      <c r="AB27" t="s">
        <v>1786</v>
      </c>
    </row>
    <row r="28" spans="2:11" ht="12.75">
      <c r="B28" s="9"/>
      <c r="C28" s="2"/>
      <c r="D28" s="2"/>
      <c r="E28" s="12"/>
      <c r="K28" s="33" t="s">
        <v>587</v>
      </c>
    </row>
    <row r="29" spans="1:12" ht="12.75">
      <c r="A29" s="93">
        <f>F26*3800</f>
        <v>14440</v>
      </c>
      <c r="B29" s="93"/>
      <c r="C29" s="94"/>
      <c r="D29" s="94"/>
      <c r="E29" s="126" t="s">
        <v>1917</v>
      </c>
      <c r="L29" t="s">
        <v>602</v>
      </c>
    </row>
    <row r="30" spans="1:12" ht="12.75">
      <c r="A30" s="93">
        <f>A29-A25</f>
        <v>-1587.9227043781411</v>
      </c>
      <c r="B30" s="93"/>
      <c r="C30" s="93"/>
      <c r="D30" s="92"/>
      <c r="E30" s="92" t="s">
        <v>1497</v>
      </c>
      <c r="L30" s="6" t="s">
        <v>600</v>
      </c>
    </row>
    <row r="31" ht="12.75">
      <c r="L31" t="s">
        <v>601</v>
      </c>
    </row>
    <row r="32" spans="2:12" ht="12.75">
      <c r="B32" s="9"/>
      <c r="C32" s="2"/>
      <c r="D32" s="2"/>
      <c r="E32" s="11"/>
      <c r="L32" s="27" t="s">
        <v>603</v>
      </c>
    </row>
    <row r="33" spans="6:29" ht="12.75">
      <c r="F33" s="9"/>
      <c r="I33" s="10"/>
      <c r="J33" s="6"/>
      <c r="K33" s="6"/>
      <c r="L33" s="6"/>
      <c r="M33" s="6"/>
      <c r="N33" s="6"/>
      <c r="O33" s="2"/>
      <c r="P33" s="16"/>
      <c r="Q33" s="9"/>
      <c r="R33" s="29"/>
      <c r="S33" s="93"/>
      <c r="T33" s="92"/>
      <c r="U33" s="94"/>
      <c r="V33" s="92"/>
      <c r="W33" s="92"/>
      <c r="X33" s="93"/>
      <c r="Y33" s="93"/>
      <c r="AA33" s="2"/>
      <c r="AB33" s="9"/>
      <c r="AC33" s="9"/>
    </row>
    <row r="34" spans="6:29" ht="12.75">
      <c r="F34" s="9"/>
      <c r="I34" s="10"/>
      <c r="J34" s="6"/>
      <c r="K34" s="6"/>
      <c r="L34" s="6"/>
      <c r="M34" s="6"/>
      <c r="N34" s="6"/>
      <c r="O34" s="2"/>
      <c r="P34" s="16"/>
      <c r="Q34" s="9"/>
      <c r="R34" s="42"/>
      <c r="S34" s="93"/>
      <c r="T34" s="93"/>
      <c r="U34" s="93"/>
      <c r="V34" s="94"/>
      <c r="W34" s="126"/>
      <c r="X34" s="93"/>
      <c r="Y34" s="93"/>
      <c r="AA34" s="2"/>
      <c r="AB34" s="9"/>
      <c r="AC34" s="9"/>
    </row>
    <row r="35" spans="2:29" ht="12.75">
      <c r="B35" s="9">
        <v>200.2</v>
      </c>
      <c r="C35" s="9">
        <f>B35/28.349523</f>
        <v>7.061847213443414</v>
      </c>
      <c r="D35" s="9"/>
      <c r="E35" s="152" t="s">
        <v>433</v>
      </c>
      <c r="F35" s="9"/>
      <c r="I35" s="10"/>
      <c r="J35" s="6"/>
      <c r="K35" s="6"/>
      <c r="L35" s="6"/>
      <c r="M35" s="6"/>
      <c r="N35" s="6"/>
      <c r="O35" s="2"/>
      <c r="P35" s="16"/>
      <c r="Q35" s="9"/>
      <c r="R35" s="16"/>
      <c r="S35" s="16"/>
      <c r="T35" s="42"/>
      <c r="U35" s="60"/>
      <c r="V35" s="9"/>
      <c r="W35" s="9"/>
      <c r="X35" s="9"/>
      <c r="Y35" s="9"/>
      <c r="AA35" s="2"/>
      <c r="AB35" s="9"/>
      <c r="AC35" s="9"/>
    </row>
    <row r="36" spans="1:29" ht="12.75">
      <c r="A36" s="9"/>
      <c r="B36" s="150">
        <f>2.7*5</f>
        <v>13.5</v>
      </c>
      <c r="C36" s="2"/>
      <c r="D36" s="2"/>
      <c r="E36" s="152" t="s">
        <v>431</v>
      </c>
      <c r="F36" s="9"/>
      <c r="I36" s="10"/>
      <c r="O36" s="2"/>
      <c r="P36" s="9"/>
      <c r="Q36" s="42"/>
      <c r="R36" s="42"/>
      <c r="S36" s="29"/>
      <c r="T36" s="29"/>
      <c r="U36" s="60"/>
      <c r="V36" s="9"/>
      <c r="W36" s="9"/>
      <c r="X36" s="9"/>
      <c r="Y36" s="9"/>
      <c r="AA36" s="2"/>
      <c r="AB36" s="9"/>
      <c r="AC36" s="9"/>
    </row>
    <row r="37" spans="1:29" ht="12.75">
      <c r="A37" s="9"/>
      <c r="B37" s="9">
        <f>B36+B35+B25</f>
        <v>4537.7</v>
      </c>
      <c r="C37" s="9">
        <f>B37/28.349523</f>
        <v>160.06265784436653</v>
      </c>
      <c r="D37" s="2">
        <f>C37/16</f>
        <v>10.003916115272908</v>
      </c>
      <c r="E37" s="152" t="s">
        <v>436</v>
      </c>
      <c r="F37" s="9"/>
      <c r="I37" s="10"/>
      <c r="N37" s="109"/>
      <c r="O37" s="2"/>
      <c r="P37" s="9"/>
      <c r="Q37" s="9"/>
      <c r="R37" s="42"/>
      <c r="S37" s="46"/>
      <c r="T37" s="29"/>
      <c r="U37" s="60"/>
      <c r="V37" s="9"/>
      <c r="W37" s="9"/>
      <c r="X37" s="9"/>
      <c r="Y37" s="9"/>
      <c r="AA37" s="2"/>
      <c r="AB37" s="9"/>
      <c r="AC37" s="9"/>
    </row>
    <row r="38" spans="1:29" ht="12.75">
      <c r="A38" s="9"/>
      <c r="B38" s="9">
        <f>B37-B16</f>
        <v>3547.7</v>
      </c>
      <c r="C38" s="9">
        <f>B38/28.349523</f>
        <v>125.14143536030569</v>
      </c>
      <c r="D38" s="2">
        <f>C38/16</f>
        <v>7.821339710019106</v>
      </c>
      <c r="E38" s="152" t="s">
        <v>437</v>
      </c>
      <c r="F38" s="9"/>
      <c r="I38" s="10"/>
      <c r="O38" s="2"/>
      <c r="P38" s="9"/>
      <c r="Q38" s="9"/>
      <c r="R38" s="16"/>
      <c r="S38" s="16"/>
      <c r="T38" s="9"/>
      <c r="U38" s="60"/>
      <c r="V38" s="9"/>
      <c r="W38" s="9"/>
      <c r="X38" s="9"/>
      <c r="Y38" s="9"/>
      <c r="AA38" s="2"/>
      <c r="AB38" s="9"/>
      <c r="AC38" s="9"/>
    </row>
    <row r="39" spans="1:29" ht="12.75">
      <c r="A39" s="9"/>
      <c r="C39" s="2"/>
      <c r="D39" s="2"/>
      <c r="E39" s="11"/>
      <c r="I39" s="10"/>
      <c r="O39" s="2"/>
      <c r="Q39" s="9"/>
      <c r="R39" s="16"/>
      <c r="S39" s="16"/>
      <c r="T39" s="16"/>
      <c r="U39" s="60"/>
      <c r="V39" s="16"/>
      <c r="W39" s="9"/>
      <c r="X39" s="9"/>
      <c r="Y39" s="16"/>
      <c r="AA39" s="2"/>
      <c r="AB39" s="10"/>
      <c r="AC39" s="9"/>
    </row>
    <row r="40" spans="1:29" ht="12.75">
      <c r="A40" s="9"/>
      <c r="C40" s="2"/>
      <c r="D40" s="2"/>
      <c r="E40" s="11"/>
      <c r="F40" s="9"/>
      <c r="I40" s="10"/>
      <c r="O40" s="2"/>
      <c r="Q40" s="9"/>
      <c r="R40" s="29"/>
      <c r="S40" s="16"/>
      <c r="T40" s="29"/>
      <c r="U40" s="60"/>
      <c r="V40" s="16"/>
      <c r="W40" s="9"/>
      <c r="X40" s="9"/>
      <c r="Y40" s="16"/>
      <c r="AA40" s="2"/>
      <c r="AB40" s="32"/>
      <c r="AC40" s="9"/>
    </row>
    <row r="41" spans="1:29" ht="12.75">
      <c r="A41" s="9"/>
      <c r="C41" s="2"/>
      <c r="D41" s="2"/>
      <c r="E41" s="11"/>
      <c r="F41" s="9"/>
      <c r="I41" s="10"/>
      <c r="O41" s="2"/>
      <c r="P41" s="29"/>
      <c r="Q41" s="9"/>
      <c r="R41" s="29"/>
      <c r="S41" s="16"/>
      <c r="T41" s="16"/>
      <c r="U41" s="60"/>
      <c r="V41" s="16"/>
      <c r="W41" s="9"/>
      <c r="X41" s="9"/>
      <c r="Y41" s="16"/>
      <c r="AA41" s="2"/>
      <c r="AB41" s="11"/>
      <c r="AC41" s="9"/>
    </row>
    <row r="42" spans="1:29" ht="12.75">
      <c r="A42" s="9"/>
      <c r="C42" s="2"/>
      <c r="D42" s="2"/>
      <c r="E42" s="11">
        <f>175/(B21+B24)</f>
        <v>0.25107604017216645</v>
      </c>
      <c r="F42" s="9"/>
      <c r="I42" s="10"/>
      <c r="O42" s="2"/>
      <c r="P42" s="29"/>
      <c r="Q42" s="9"/>
      <c r="R42" s="16"/>
      <c r="S42" s="16"/>
      <c r="T42" s="16"/>
      <c r="U42" s="60"/>
      <c r="V42" s="16"/>
      <c r="W42" s="9"/>
      <c r="X42" s="9"/>
      <c r="Y42" s="16"/>
      <c r="AA42" s="2"/>
      <c r="AB42" s="11"/>
      <c r="AC42" s="9"/>
    </row>
    <row r="43" spans="1:29" ht="12.75">
      <c r="A43" s="9"/>
      <c r="B43" s="6"/>
      <c r="C43" s="2"/>
      <c r="D43" s="2"/>
      <c r="E43" s="11"/>
      <c r="F43" s="9"/>
      <c r="I43" s="6"/>
      <c r="O43" s="2"/>
      <c r="P43" s="42"/>
      <c r="Q43" s="9"/>
      <c r="R43" s="16"/>
      <c r="S43" s="29"/>
      <c r="T43" s="42"/>
      <c r="U43" s="60"/>
      <c r="V43" s="9"/>
      <c r="W43" s="9"/>
      <c r="X43" s="9"/>
      <c r="Y43" s="16"/>
      <c r="AA43" s="2"/>
      <c r="AB43" s="9"/>
      <c r="AC43" s="9"/>
    </row>
    <row r="44" spans="1:29" ht="12.75">
      <c r="A44" s="9"/>
      <c r="C44" s="2"/>
      <c r="D44" s="2"/>
      <c r="E44" s="11">
        <f>E42*B24</f>
        <v>92.39598278335725</v>
      </c>
      <c r="F44" s="9"/>
      <c r="I44" s="10"/>
      <c r="O44" s="2"/>
      <c r="P44" s="42"/>
      <c r="Q44" s="9"/>
      <c r="R44" s="42"/>
      <c r="S44" s="29"/>
      <c r="T44" s="42"/>
      <c r="U44" s="60"/>
      <c r="V44" s="9"/>
      <c r="W44" s="9"/>
      <c r="X44" s="9"/>
      <c r="Y44" s="9"/>
      <c r="AA44" s="2"/>
      <c r="AB44" s="9"/>
      <c r="AC44" s="9"/>
    </row>
    <row r="45" spans="1:29" ht="12.75">
      <c r="A45" s="9"/>
      <c r="C45" s="2"/>
      <c r="D45" s="2"/>
      <c r="E45" s="11"/>
      <c r="F45" s="9"/>
      <c r="I45" s="10"/>
      <c r="O45" s="2"/>
      <c r="P45" s="29"/>
      <c r="Q45" s="9"/>
      <c r="R45" s="29"/>
      <c r="S45" s="16"/>
      <c r="T45" s="9"/>
      <c r="U45" s="60"/>
      <c r="V45" s="16"/>
      <c r="W45" s="9"/>
      <c r="X45" s="9"/>
      <c r="Y45" s="16"/>
      <c r="AA45" s="2"/>
      <c r="AB45" s="11"/>
      <c r="AC45" s="9"/>
    </row>
    <row r="46" spans="1:29" ht="12.75">
      <c r="A46" s="9"/>
      <c r="C46" s="2"/>
      <c r="D46" s="2"/>
      <c r="E46" s="11">
        <f>E42*B21</f>
        <v>82.60401721664276</v>
      </c>
      <c r="F46" s="9"/>
      <c r="I46" s="10"/>
      <c r="O46" s="2"/>
      <c r="P46" s="16"/>
      <c r="Q46" s="9"/>
      <c r="R46" s="29"/>
      <c r="S46" s="16"/>
      <c r="T46" s="9"/>
      <c r="U46" s="60"/>
      <c r="V46" s="16"/>
      <c r="W46" s="9"/>
      <c r="X46" s="9"/>
      <c r="Y46" s="16"/>
      <c r="AA46" s="2"/>
      <c r="AB46" s="11"/>
      <c r="AC46" s="9"/>
    </row>
    <row r="47" spans="1:29" ht="12.75">
      <c r="A47" s="9"/>
      <c r="C47" s="2"/>
      <c r="D47" s="2"/>
      <c r="E47" s="11"/>
      <c r="F47" s="9"/>
      <c r="I47" s="10"/>
      <c r="O47" s="2"/>
      <c r="P47" s="29"/>
      <c r="Q47" s="9"/>
      <c r="R47" s="16"/>
      <c r="S47" s="16"/>
      <c r="T47" s="9"/>
      <c r="U47" s="60"/>
      <c r="V47" s="9"/>
      <c r="W47" s="9"/>
      <c r="X47" s="9"/>
      <c r="Y47" s="9"/>
      <c r="AA47" s="2"/>
      <c r="AB47" s="9"/>
      <c r="AC47" s="9"/>
    </row>
    <row r="48" spans="1:29" ht="12.75">
      <c r="A48" s="9"/>
      <c r="C48" s="2"/>
      <c r="D48" s="2"/>
      <c r="E48" s="11"/>
      <c r="F48" s="9"/>
      <c r="I48" s="10"/>
      <c r="O48" s="2"/>
      <c r="P48" s="29"/>
      <c r="Q48" s="9"/>
      <c r="R48" s="16"/>
      <c r="S48" s="16"/>
      <c r="T48" s="29"/>
      <c r="U48" s="60"/>
      <c r="V48" s="9"/>
      <c r="W48" s="9"/>
      <c r="X48" s="9"/>
      <c r="Y48" s="9"/>
      <c r="AA48" s="2"/>
      <c r="AB48" s="9"/>
      <c r="AC48" s="9"/>
    </row>
    <row r="49" spans="1:29" ht="12.75">
      <c r="A49" s="9"/>
      <c r="C49" s="2"/>
      <c r="D49" s="2"/>
      <c r="E49" s="11"/>
      <c r="F49" s="9"/>
      <c r="I49" s="10"/>
      <c r="O49" s="2"/>
      <c r="P49" s="42"/>
      <c r="Q49" s="9"/>
      <c r="R49" s="16"/>
      <c r="S49" s="16"/>
      <c r="T49" s="9"/>
      <c r="U49" s="60"/>
      <c r="V49" s="9"/>
      <c r="W49" s="9"/>
      <c r="X49" s="9"/>
      <c r="Y49" s="9"/>
      <c r="AA49" s="2"/>
      <c r="AB49" s="9"/>
      <c r="AC49" s="9"/>
    </row>
    <row r="50" spans="1:29" ht="12.75">
      <c r="A50" s="9"/>
      <c r="C50" s="2"/>
      <c r="D50" s="2"/>
      <c r="E50" s="11"/>
      <c r="F50" s="9"/>
      <c r="I50" s="10"/>
      <c r="O50" s="2"/>
      <c r="P50" s="42"/>
      <c r="Q50" s="9"/>
      <c r="R50" s="16"/>
      <c r="S50" s="16"/>
      <c r="T50" s="9"/>
      <c r="U50" s="60"/>
      <c r="V50" s="9"/>
      <c r="W50" s="9"/>
      <c r="X50" s="9"/>
      <c r="Y50" s="9"/>
      <c r="AA50" s="2"/>
      <c r="AB50" s="9"/>
      <c r="AC50" s="9"/>
    </row>
    <row r="51" spans="1:29" ht="12.75">
      <c r="A51" s="9"/>
      <c r="C51" s="2"/>
      <c r="D51" s="2"/>
      <c r="E51" s="11"/>
      <c r="F51" s="9"/>
      <c r="G51" s="33"/>
      <c r="I51" s="44"/>
      <c r="O51" s="2"/>
      <c r="P51" s="42"/>
      <c r="Q51" s="29"/>
      <c r="R51" s="29"/>
      <c r="S51" s="16"/>
      <c r="T51" s="9"/>
      <c r="U51" s="60"/>
      <c r="V51" s="9"/>
      <c r="W51" s="9"/>
      <c r="X51" s="9"/>
      <c r="Y51" s="9"/>
      <c r="AA51" s="2"/>
      <c r="AC51" s="9"/>
    </row>
    <row r="52" spans="1:29" ht="12.75">
      <c r="A52" s="9"/>
      <c r="C52" s="2"/>
      <c r="D52" s="2"/>
      <c r="E52" s="11"/>
      <c r="F52" s="9"/>
      <c r="G52" s="33"/>
      <c r="I52" s="10"/>
      <c r="O52" s="2"/>
      <c r="P52" s="42"/>
      <c r="Q52" s="9"/>
      <c r="R52" s="29"/>
      <c r="S52" s="16"/>
      <c r="T52" s="9"/>
      <c r="U52" s="60"/>
      <c r="V52" s="9"/>
      <c r="W52" s="9"/>
      <c r="X52" s="9"/>
      <c r="Y52" s="9"/>
      <c r="AA52" s="2"/>
      <c r="AC52" s="9"/>
    </row>
    <row r="53" spans="1:29" ht="12.75">
      <c r="A53" s="9"/>
      <c r="C53" s="2"/>
      <c r="D53" s="2"/>
      <c r="E53" s="11"/>
      <c r="F53" s="9"/>
      <c r="I53" s="10"/>
      <c r="O53" s="2"/>
      <c r="P53" s="42"/>
      <c r="Q53" s="9"/>
      <c r="R53" s="29"/>
      <c r="S53" s="16"/>
      <c r="T53" s="42"/>
      <c r="U53" s="60"/>
      <c r="V53" s="9"/>
      <c r="W53" s="9"/>
      <c r="X53" s="9"/>
      <c r="Y53" s="9"/>
      <c r="AA53" s="2"/>
      <c r="AC53" s="9"/>
    </row>
    <row r="54" spans="1:29" ht="12.75">
      <c r="A54" s="9"/>
      <c r="C54" s="2"/>
      <c r="D54" s="2"/>
      <c r="E54" s="11"/>
      <c r="F54" s="9"/>
      <c r="I54" s="16"/>
      <c r="O54" s="32"/>
      <c r="P54" s="42"/>
      <c r="Q54" s="9"/>
      <c r="R54" s="29"/>
      <c r="S54" s="16"/>
      <c r="T54" s="42"/>
      <c r="U54" s="60"/>
      <c r="V54" s="9"/>
      <c r="W54" s="9"/>
      <c r="X54" s="9"/>
      <c r="Y54" s="9"/>
      <c r="AA54" s="2"/>
      <c r="AC54" s="9"/>
    </row>
    <row r="55" spans="1:29" ht="12.75">
      <c r="A55" s="9"/>
      <c r="C55" s="2"/>
      <c r="D55" s="2"/>
      <c r="E55" s="11"/>
      <c r="F55" s="9"/>
      <c r="I55" s="10"/>
      <c r="O55" s="2"/>
      <c r="P55" s="42"/>
      <c r="Q55" s="9"/>
      <c r="R55" s="29"/>
      <c r="S55" s="16"/>
      <c r="T55" s="42"/>
      <c r="U55" s="60"/>
      <c r="V55" s="9"/>
      <c r="W55" s="9"/>
      <c r="X55" s="9"/>
      <c r="Y55" s="9"/>
      <c r="AA55" s="2"/>
      <c r="AC55" s="9"/>
    </row>
    <row r="56" spans="1:29" ht="12.75">
      <c r="A56" s="9"/>
      <c r="C56" s="2"/>
      <c r="D56" s="2"/>
      <c r="E56" s="11"/>
      <c r="F56" s="9"/>
      <c r="I56" s="44"/>
      <c r="O56" s="2"/>
      <c r="P56" s="42"/>
      <c r="Q56" s="9"/>
      <c r="R56" s="29"/>
      <c r="S56" s="16"/>
      <c r="T56" s="9"/>
      <c r="U56" s="60"/>
      <c r="V56" s="9"/>
      <c r="W56" s="9"/>
      <c r="X56" s="9"/>
      <c r="Y56" s="9"/>
      <c r="AA56" s="2"/>
      <c r="AC56" s="9"/>
    </row>
    <row r="57" spans="1:29" ht="12.75">
      <c r="A57" s="9"/>
      <c r="C57" s="2"/>
      <c r="D57" s="2"/>
      <c r="E57" s="11"/>
      <c r="F57" s="9"/>
      <c r="I57" s="10"/>
      <c r="O57" s="2"/>
      <c r="P57" s="9"/>
      <c r="Q57" s="29"/>
      <c r="R57" s="42"/>
      <c r="S57" s="16"/>
      <c r="T57" s="29"/>
      <c r="U57" s="60"/>
      <c r="V57" s="9"/>
      <c r="W57" s="9"/>
      <c r="X57" s="9"/>
      <c r="Y57" s="9"/>
      <c r="AA57" s="2"/>
      <c r="AB57" s="9"/>
      <c r="AC57" s="9"/>
    </row>
    <row r="58" spans="1:29" ht="12.75">
      <c r="A58" s="9"/>
      <c r="C58" s="2"/>
      <c r="D58" s="2"/>
      <c r="E58" s="11"/>
      <c r="F58" s="9"/>
      <c r="I58" s="10"/>
      <c r="O58" s="2"/>
      <c r="P58" s="9"/>
      <c r="Q58" s="29"/>
      <c r="R58" s="42"/>
      <c r="S58" s="16"/>
      <c r="T58" s="29"/>
      <c r="U58" s="60"/>
      <c r="V58" s="9"/>
      <c r="W58" s="9"/>
      <c r="X58" s="9"/>
      <c r="Y58" s="9"/>
      <c r="AA58" s="2"/>
      <c r="AB58" s="9"/>
      <c r="AC58" s="9"/>
    </row>
    <row r="59" spans="1:29" ht="12.75">
      <c r="A59" s="9"/>
      <c r="C59" s="2"/>
      <c r="D59" s="2"/>
      <c r="E59" s="11"/>
      <c r="F59" s="9"/>
      <c r="I59" s="10"/>
      <c r="O59" s="2"/>
      <c r="P59" s="9"/>
      <c r="Q59" s="29"/>
      <c r="R59" s="42"/>
      <c r="S59" s="16"/>
      <c r="T59" s="29"/>
      <c r="U59" s="60"/>
      <c r="V59" s="9"/>
      <c r="W59" s="9"/>
      <c r="X59" s="9"/>
      <c r="Y59" s="9"/>
      <c r="AA59" s="2"/>
      <c r="AB59" s="9"/>
      <c r="AC59" s="9"/>
    </row>
    <row r="60" spans="1:29" ht="12.75">
      <c r="A60" s="9"/>
      <c r="C60" s="2"/>
      <c r="D60" s="2"/>
      <c r="E60" s="11"/>
      <c r="F60" s="9"/>
      <c r="I60" s="10"/>
      <c r="O60" s="10"/>
      <c r="P60" s="9"/>
      <c r="Q60" s="29"/>
      <c r="R60" s="16"/>
      <c r="S60" s="16"/>
      <c r="T60" s="16"/>
      <c r="U60" s="60"/>
      <c r="V60" s="9"/>
      <c r="W60" s="9"/>
      <c r="X60" s="9"/>
      <c r="Y60" s="9"/>
      <c r="Z60" s="9"/>
      <c r="AA60" s="2"/>
      <c r="AB60" s="9"/>
      <c r="AC60" s="9"/>
    </row>
    <row r="61" spans="1:29" ht="12.75">
      <c r="A61" s="9"/>
      <c r="B61" s="9"/>
      <c r="C61" s="2"/>
      <c r="D61" s="2"/>
      <c r="E61" s="11"/>
      <c r="F61" s="9"/>
      <c r="I61" s="10"/>
      <c r="O61" s="10"/>
      <c r="P61" s="42"/>
      <c r="Q61" s="16"/>
      <c r="R61" s="29"/>
      <c r="S61" s="16"/>
      <c r="T61" s="16"/>
      <c r="U61" s="60"/>
      <c r="V61" s="16"/>
      <c r="W61" s="9"/>
      <c r="X61" s="9"/>
      <c r="Y61" s="16"/>
      <c r="AA61" s="2"/>
      <c r="AB61" s="9"/>
      <c r="AC61" s="9"/>
    </row>
    <row r="62" spans="1:29" ht="12.75">
      <c r="A62" s="9"/>
      <c r="B62" s="9"/>
      <c r="C62" s="2"/>
      <c r="D62" s="2"/>
      <c r="E62" s="11"/>
      <c r="F62" s="9"/>
      <c r="I62" s="10"/>
      <c r="O62" s="10"/>
      <c r="P62" s="42"/>
      <c r="Q62" s="16"/>
      <c r="R62" s="29"/>
      <c r="S62" s="16"/>
      <c r="T62" s="16"/>
      <c r="U62" s="60"/>
      <c r="V62" s="16"/>
      <c r="W62" s="9"/>
      <c r="X62" s="9"/>
      <c r="Y62" s="16"/>
      <c r="AA62" s="2"/>
      <c r="AB62" s="9"/>
      <c r="AC62" s="9"/>
    </row>
    <row r="63" spans="1:29" ht="12.75">
      <c r="A63" s="9"/>
      <c r="B63" s="9"/>
      <c r="C63" s="2"/>
      <c r="D63" s="2"/>
      <c r="E63" s="11"/>
      <c r="F63" s="9"/>
      <c r="I63" s="10"/>
      <c r="O63" s="10"/>
      <c r="P63" s="42"/>
      <c r="Q63" s="16"/>
      <c r="R63" s="29"/>
      <c r="S63" s="16"/>
      <c r="T63" s="16"/>
      <c r="U63" s="60"/>
      <c r="V63" s="16"/>
      <c r="W63" s="9"/>
      <c r="X63" s="9"/>
      <c r="Y63" s="16"/>
      <c r="AA63" s="2"/>
      <c r="AB63" s="9"/>
      <c r="AC63" s="9"/>
    </row>
    <row r="64" spans="1:29" ht="12.75">
      <c r="A64" s="9"/>
      <c r="B64" s="9"/>
      <c r="C64" s="2"/>
      <c r="D64" s="2"/>
      <c r="E64" s="11"/>
      <c r="F64" s="9"/>
      <c r="I64" s="10"/>
      <c r="O64" s="10"/>
      <c r="P64" s="42"/>
      <c r="Q64" s="16"/>
      <c r="R64" s="16"/>
      <c r="S64" s="16"/>
      <c r="T64" s="16"/>
      <c r="U64" s="60"/>
      <c r="V64" s="16"/>
      <c r="W64" s="9"/>
      <c r="X64" s="9"/>
      <c r="Y64" s="16"/>
      <c r="AA64" s="2"/>
      <c r="AB64" s="9"/>
      <c r="AC64" s="9"/>
    </row>
    <row r="65" spans="1:29" ht="12.75">
      <c r="A65" s="9"/>
      <c r="C65" s="2"/>
      <c r="D65" s="2"/>
      <c r="E65" s="11"/>
      <c r="F65" s="9"/>
      <c r="I65" s="10"/>
      <c r="O65" s="32"/>
      <c r="P65" s="9"/>
      <c r="Q65" s="29"/>
      <c r="R65" s="29"/>
      <c r="S65" s="16"/>
      <c r="T65" s="9"/>
      <c r="U65" s="60"/>
      <c r="V65" s="9"/>
      <c r="W65" s="9"/>
      <c r="X65" s="9"/>
      <c r="Y65" s="9"/>
      <c r="AA65" s="2"/>
      <c r="AC65" s="9"/>
    </row>
    <row r="66" spans="1:29" ht="12.75">
      <c r="A66" s="9"/>
      <c r="C66" s="2"/>
      <c r="D66" s="2"/>
      <c r="E66" s="11"/>
      <c r="F66" s="9"/>
      <c r="I66" s="10"/>
      <c r="O66" s="32"/>
      <c r="P66" s="42"/>
      <c r="Q66" s="29"/>
      <c r="R66" s="29"/>
      <c r="S66" s="16"/>
      <c r="T66" s="29"/>
      <c r="U66" s="60"/>
      <c r="V66" s="9"/>
      <c r="W66" s="9"/>
      <c r="X66" s="9"/>
      <c r="Y66" s="9"/>
      <c r="AA66" s="2"/>
      <c r="AB66" s="9"/>
      <c r="AC66" s="9"/>
    </row>
    <row r="67" spans="1:29" ht="12.75">
      <c r="A67" s="9"/>
      <c r="C67" s="2"/>
      <c r="D67" s="2"/>
      <c r="E67" s="11"/>
      <c r="F67" s="9"/>
      <c r="I67" s="10"/>
      <c r="O67" s="32"/>
      <c r="P67" s="42"/>
      <c r="Q67" s="29"/>
      <c r="R67" s="16"/>
      <c r="S67" s="16"/>
      <c r="T67" s="9"/>
      <c r="U67" s="60"/>
      <c r="V67" s="9"/>
      <c r="W67" s="9"/>
      <c r="X67" s="9"/>
      <c r="Y67" s="9"/>
      <c r="AA67" s="2"/>
      <c r="AB67" s="9"/>
      <c r="AC67" s="9"/>
    </row>
    <row r="68" spans="1:27" ht="12.75">
      <c r="A68" s="9"/>
      <c r="B68" s="12"/>
      <c r="C68" s="2"/>
      <c r="D68" s="2"/>
      <c r="E68" s="11"/>
      <c r="F68" s="9"/>
      <c r="I68" s="10"/>
      <c r="O68" s="32"/>
      <c r="P68" s="42"/>
      <c r="Q68" s="29"/>
      <c r="R68" s="16"/>
      <c r="S68" s="16"/>
      <c r="T68" s="9"/>
      <c r="U68" s="60"/>
      <c r="V68" s="9"/>
      <c r="W68" s="9"/>
      <c r="X68" s="9"/>
      <c r="Y68" s="9"/>
      <c r="AA68" s="2"/>
    </row>
    <row r="69" spans="1:27" ht="12.75">
      <c r="A69" s="9"/>
      <c r="B69" s="12"/>
      <c r="C69" s="2"/>
      <c r="D69" s="2"/>
      <c r="E69" s="11"/>
      <c r="F69" s="9"/>
      <c r="I69" s="10"/>
      <c r="O69" s="32"/>
      <c r="P69" s="42"/>
      <c r="Q69" s="29"/>
      <c r="R69" s="16"/>
      <c r="S69" s="16"/>
      <c r="T69" s="9"/>
      <c r="U69" s="60"/>
      <c r="V69" s="9"/>
      <c r="W69" s="9"/>
      <c r="X69" s="9"/>
      <c r="Y69" s="9"/>
      <c r="AA69" s="2"/>
    </row>
    <row r="70" spans="1:29" ht="12.75">
      <c r="A70" s="9"/>
      <c r="C70" s="2"/>
      <c r="D70" s="2"/>
      <c r="E70" s="11"/>
      <c r="F70" s="9"/>
      <c r="I70" s="10"/>
      <c r="O70" s="32"/>
      <c r="P70" s="42"/>
      <c r="Q70" s="29"/>
      <c r="R70" s="16"/>
      <c r="S70" s="16"/>
      <c r="T70" s="9"/>
      <c r="U70" s="60"/>
      <c r="V70" s="9"/>
      <c r="W70" s="9"/>
      <c r="X70" s="9"/>
      <c r="Y70" s="9"/>
      <c r="AA70" s="2"/>
      <c r="AB70" s="9"/>
      <c r="AC70" s="9"/>
    </row>
    <row r="71" spans="1:29" ht="12.75">
      <c r="A71" s="9"/>
      <c r="C71" s="2"/>
      <c r="D71" s="2"/>
      <c r="E71" s="11"/>
      <c r="F71" s="9"/>
      <c r="I71" s="10"/>
      <c r="O71" s="32"/>
      <c r="P71" s="42"/>
      <c r="Q71" s="29"/>
      <c r="R71" s="16"/>
      <c r="S71" s="16"/>
      <c r="T71" s="9"/>
      <c r="U71" s="60"/>
      <c r="V71" s="9"/>
      <c r="W71" s="9"/>
      <c r="X71" s="9"/>
      <c r="Y71" s="9"/>
      <c r="AA71" s="2"/>
      <c r="AB71" s="9"/>
      <c r="AC71" s="9"/>
    </row>
    <row r="72" spans="1:29" ht="12.75">
      <c r="A72" s="9"/>
      <c r="C72" s="2"/>
      <c r="D72" s="2"/>
      <c r="E72" s="11"/>
      <c r="F72" s="9"/>
      <c r="I72" s="10"/>
      <c r="O72" s="32"/>
      <c r="P72" s="9"/>
      <c r="Q72" s="9"/>
      <c r="R72" s="16"/>
      <c r="S72" s="16"/>
      <c r="T72" s="9"/>
      <c r="U72" s="60"/>
      <c r="V72" s="9"/>
      <c r="W72" s="9"/>
      <c r="X72" s="9"/>
      <c r="Y72" s="9"/>
      <c r="Z72" s="9"/>
      <c r="AA72" s="2"/>
      <c r="AB72" s="9"/>
      <c r="AC72" s="9"/>
    </row>
    <row r="73" spans="1:28" ht="12.75">
      <c r="A73" s="9"/>
      <c r="B73" s="12"/>
      <c r="C73" s="2"/>
      <c r="D73" s="2"/>
      <c r="E73" s="11"/>
      <c r="F73" s="9"/>
      <c r="I73" s="10"/>
      <c r="J73" s="6"/>
      <c r="K73" s="6"/>
      <c r="L73" s="6"/>
      <c r="M73" s="6"/>
      <c r="N73" s="6"/>
      <c r="O73" s="44"/>
      <c r="P73" s="42"/>
      <c r="Q73" s="42"/>
      <c r="R73" s="42"/>
      <c r="S73" s="46"/>
      <c r="T73" s="35"/>
      <c r="U73" s="60"/>
      <c r="V73" s="35"/>
      <c r="W73" s="35"/>
      <c r="X73" s="35"/>
      <c r="Y73" s="35"/>
      <c r="Z73" s="34"/>
      <c r="AA73" s="44"/>
      <c r="AB73" s="9"/>
    </row>
    <row r="74" spans="15:21" ht="12.75">
      <c r="O74" s="2"/>
      <c r="U74" s="60"/>
    </row>
    <row r="75" ht="12.75">
      <c r="U75" s="60"/>
    </row>
    <row r="76" ht="12.75">
      <c r="U76" s="60"/>
    </row>
    <row r="77" spans="1:29" ht="12.75">
      <c r="A77" s="9"/>
      <c r="C77" s="2"/>
      <c r="D77" s="2"/>
      <c r="E77" s="11"/>
      <c r="F77" s="9"/>
      <c r="I77" s="6"/>
      <c r="J77" s="6"/>
      <c r="K77" s="6"/>
      <c r="L77" s="6"/>
      <c r="M77" s="6"/>
      <c r="N77" s="6"/>
      <c r="O77" s="2"/>
      <c r="P77" s="29"/>
      <c r="Q77" s="9"/>
      <c r="R77" s="42"/>
      <c r="S77" s="16"/>
      <c r="T77" s="9"/>
      <c r="U77" s="60"/>
      <c r="V77" s="16"/>
      <c r="W77" s="9"/>
      <c r="X77" s="9"/>
      <c r="Y77" s="9"/>
      <c r="AA77" s="2"/>
      <c r="AC77" s="9"/>
    </row>
    <row r="78" spans="1:27" ht="12.75">
      <c r="A78" s="9"/>
      <c r="C78" s="2"/>
      <c r="D78" s="2"/>
      <c r="O78" s="2"/>
      <c r="P78" s="16"/>
      <c r="Q78" s="9"/>
      <c r="R78" s="16"/>
      <c r="S78" s="29"/>
      <c r="T78" s="9"/>
      <c r="U78" s="60"/>
      <c r="V78" s="16"/>
      <c r="W78" s="9"/>
      <c r="X78" s="9"/>
      <c r="Y78" s="9"/>
      <c r="AA78" s="2"/>
    </row>
    <row r="79" spans="1:27" ht="12.75">
      <c r="A79" s="9"/>
      <c r="C79" s="2"/>
      <c r="D79" s="2"/>
      <c r="O79" s="2"/>
      <c r="P79" s="16"/>
      <c r="Q79" s="9"/>
      <c r="R79" s="29"/>
      <c r="S79" s="16"/>
      <c r="T79" s="9"/>
      <c r="U79" s="60"/>
      <c r="V79" s="16"/>
      <c r="W79" s="9"/>
      <c r="X79" s="9"/>
      <c r="Y79" s="9"/>
      <c r="AA79" s="2"/>
    </row>
    <row r="83" spans="1:8" ht="12.75">
      <c r="A83" s="2"/>
      <c r="B83" s="11"/>
      <c r="H83" s="33"/>
    </row>
    <row r="87" ht="12.75">
      <c r="I87" s="27"/>
    </row>
  </sheetData>
  <printOptions/>
  <pageMargins left="0.75" right="0.75" top="1" bottom="1" header="0.5" footer="0.5"/>
  <pageSetup horizontalDpi="300" verticalDpi="300" orientation="portrait" r:id="rId1"/>
  <ignoredErrors>
    <ignoredError sqref="W26" formula="1"/>
  </ignoredErrors>
</worksheet>
</file>

<file path=xl/worksheets/sheet17.xml><?xml version="1.0" encoding="utf-8"?>
<worksheet xmlns="http://schemas.openxmlformats.org/spreadsheetml/2006/main" xmlns:r="http://schemas.openxmlformats.org/officeDocument/2006/relationships">
  <dimension ref="A1:S175"/>
  <sheetViews>
    <sheetView workbookViewId="0" topLeftCell="A1">
      <pane ySplit="1" topLeftCell="BM2" activePane="bottomLeft" state="frozen"/>
      <selection pane="topLeft" activeCell="A1" sqref="A1"/>
      <selection pane="bottomLeft" activeCell="E18" sqref="E18"/>
    </sheetView>
  </sheetViews>
  <sheetFormatPr defaultColWidth="9.140625" defaultRowHeight="12.75"/>
  <cols>
    <col min="1" max="1" width="10.140625" style="0" customWidth="1"/>
    <col min="2" max="2" width="6.00390625" style="0" bestFit="1" customWidth="1"/>
    <col min="3" max="3" width="5.00390625" style="0" customWidth="1"/>
    <col min="4" max="4" width="5.421875" style="0" customWidth="1"/>
    <col min="7" max="7" width="8.57421875" style="0" customWidth="1"/>
  </cols>
  <sheetData>
    <row r="1" spans="1:8" ht="12.75">
      <c r="A1" t="s">
        <v>1131</v>
      </c>
      <c r="B1" t="s">
        <v>1132</v>
      </c>
      <c r="C1" t="s">
        <v>1265</v>
      </c>
      <c r="D1" t="s">
        <v>1133</v>
      </c>
      <c r="E1" t="s">
        <v>1135</v>
      </c>
      <c r="H1" t="s">
        <v>1134</v>
      </c>
    </row>
    <row r="2" ht="13.5" thickBot="1">
      <c r="E2" t="s">
        <v>638</v>
      </c>
    </row>
    <row r="3" spans="1:18" ht="13.5" thickBot="1">
      <c r="A3" s="159"/>
      <c r="B3" s="171">
        <v>32</v>
      </c>
      <c r="C3" s="55">
        <f>B3/28.349523</f>
        <v>1.1287667873635827</v>
      </c>
      <c r="D3" s="55">
        <f>C3/16</f>
        <v>0.07054792421022392</v>
      </c>
      <c r="E3" s="59" t="s">
        <v>1709</v>
      </c>
      <c r="F3" s="54"/>
      <c r="G3" s="54"/>
      <c r="H3" s="174"/>
      <c r="I3" s="174"/>
      <c r="J3" s="174"/>
      <c r="K3" s="174"/>
      <c r="L3" s="174"/>
      <c r="M3" s="174"/>
      <c r="N3" s="174"/>
      <c r="O3" s="92"/>
      <c r="P3" s="92"/>
      <c r="Q3" s="92"/>
      <c r="R3" s="92"/>
    </row>
    <row r="4" spans="1:18" ht="13.5" thickBot="1">
      <c r="A4" s="159"/>
      <c r="B4" s="103">
        <v>57</v>
      </c>
      <c r="C4" s="55">
        <f>B4/28.349523</f>
        <v>2.010615839991382</v>
      </c>
      <c r="D4" s="55">
        <f>C4/16</f>
        <v>0.12566348999946136</v>
      </c>
      <c r="E4" s="54" t="s">
        <v>838</v>
      </c>
      <c r="F4" s="54"/>
      <c r="G4" s="54"/>
      <c r="H4" s="92" t="s">
        <v>838</v>
      </c>
      <c r="I4" s="92"/>
      <c r="J4" s="92"/>
      <c r="K4" s="92"/>
      <c r="L4" s="92"/>
      <c r="M4" s="92"/>
      <c r="N4" s="92"/>
      <c r="O4" s="92"/>
      <c r="P4" s="92"/>
      <c r="Q4" s="92"/>
      <c r="R4" s="92"/>
    </row>
    <row r="5" spans="1:18" ht="13.5" thickBot="1">
      <c r="A5" s="159"/>
      <c r="B5" s="103">
        <v>5</v>
      </c>
      <c r="C5" s="55"/>
      <c r="D5" s="55"/>
      <c r="E5" s="56" t="s">
        <v>2081</v>
      </c>
      <c r="F5" s="54"/>
      <c r="G5" s="54"/>
      <c r="H5" s="92" t="s">
        <v>1190</v>
      </c>
      <c r="I5" s="92"/>
      <c r="J5" s="92"/>
      <c r="K5" s="92"/>
      <c r="L5" s="92"/>
      <c r="M5" s="92"/>
      <c r="N5" s="92"/>
      <c r="O5" s="92"/>
      <c r="P5" s="92"/>
      <c r="Q5" s="92"/>
      <c r="R5" s="92"/>
    </row>
    <row r="6" spans="1:18" ht="13.5" thickBot="1">
      <c r="A6" s="159"/>
      <c r="B6" s="103"/>
      <c r="C6" s="55"/>
      <c r="D6" s="55"/>
      <c r="E6" s="56" t="s">
        <v>16</v>
      </c>
      <c r="F6" s="87"/>
      <c r="G6" s="54"/>
      <c r="H6" s="92" t="s">
        <v>1191</v>
      </c>
      <c r="I6" s="92"/>
      <c r="J6" s="92"/>
      <c r="K6" s="92"/>
      <c r="L6" s="92"/>
      <c r="M6" s="94"/>
      <c r="N6" s="92"/>
      <c r="O6" s="134"/>
      <c r="P6" s="92"/>
      <c r="Q6" s="92"/>
      <c r="R6" s="92"/>
    </row>
    <row r="7" spans="1:18" ht="12.75">
      <c r="A7" s="172" t="s">
        <v>887</v>
      </c>
      <c r="B7" s="54"/>
      <c r="C7" s="54"/>
      <c r="D7" s="54"/>
      <c r="E7" s="54"/>
      <c r="F7" s="54"/>
      <c r="G7" s="54"/>
      <c r="H7" s="92"/>
      <c r="I7" s="92"/>
      <c r="J7" s="92"/>
      <c r="K7" s="92"/>
      <c r="L7" s="92"/>
      <c r="M7" s="92"/>
      <c r="N7" s="92"/>
      <c r="O7" s="92"/>
      <c r="P7" s="92"/>
      <c r="Q7" s="92"/>
      <c r="R7" s="92"/>
    </row>
    <row r="8" spans="1:18" ht="12.75">
      <c r="A8" s="54" t="s">
        <v>1620</v>
      </c>
      <c r="B8" s="57">
        <v>20</v>
      </c>
      <c r="C8" s="55"/>
      <c r="D8" s="55"/>
      <c r="E8" s="56" t="s">
        <v>891</v>
      </c>
      <c r="F8" s="54"/>
      <c r="G8" s="54"/>
      <c r="H8" s="92"/>
      <c r="I8" s="92"/>
      <c r="J8" s="92"/>
      <c r="K8" s="92"/>
      <c r="L8" s="92"/>
      <c r="M8" s="92"/>
      <c r="N8" s="92"/>
      <c r="O8" s="92"/>
      <c r="P8" s="92"/>
      <c r="Q8" s="92"/>
      <c r="R8" s="92"/>
    </row>
    <row r="9" spans="1:18" ht="12.75">
      <c r="A9" s="54" t="s">
        <v>1620</v>
      </c>
      <c r="B9" s="54">
        <v>15</v>
      </c>
      <c r="C9" s="55">
        <f aca="true" t="shared" si="0" ref="C9:C15">B9/28.349523</f>
        <v>0.5291094315766794</v>
      </c>
      <c r="D9" s="54"/>
      <c r="E9" s="54" t="s">
        <v>10</v>
      </c>
      <c r="F9" s="54"/>
      <c r="G9" s="54"/>
      <c r="H9" s="92" t="s">
        <v>12</v>
      </c>
      <c r="I9" s="92"/>
      <c r="J9" s="92"/>
      <c r="K9" s="92"/>
      <c r="L9" s="92"/>
      <c r="M9" s="92"/>
      <c r="N9" s="92"/>
      <c r="O9" s="92"/>
      <c r="P9" s="92"/>
      <c r="Q9" s="92"/>
      <c r="R9" s="92"/>
    </row>
    <row r="10" spans="1:18" ht="13.5" thickBot="1">
      <c r="A10" s="54" t="s">
        <v>1620</v>
      </c>
      <c r="B10" s="54">
        <v>20</v>
      </c>
      <c r="C10" s="55">
        <f t="shared" si="0"/>
        <v>0.7054792421022392</v>
      </c>
      <c r="D10" s="54"/>
      <c r="E10" s="54" t="s">
        <v>11</v>
      </c>
      <c r="F10" s="54"/>
      <c r="G10" s="54"/>
      <c r="H10" s="92" t="s">
        <v>13</v>
      </c>
      <c r="I10" s="92"/>
      <c r="J10" s="92"/>
      <c r="K10" s="92"/>
      <c r="L10" s="92"/>
      <c r="M10" s="92"/>
      <c r="N10" s="92"/>
      <c r="O10" s="92"/>
      <c r="P10" s="92"/>
      <c r="Q10" s="92"/>
      <c r="R10" s="92"/>
    </row>
    <row r="11" spans="1:18" ht="12.75">
      <c r="A11" s="54" t="s">
        <v>449</v>
      </c>
      <c r="B11" s="57">
        <v>121</v>
      </c>
      <c r="C11" s="55">
        <f t="shared" si="0"/>
        <v>4.268149414718548</v>
      </c>
      <c r="D11" s="55">
        <f>C11/16</f>
        <v>0.26675933841990923</v>
      </c>
      <c r="E11" s="96" t="s">
        <v>649</v>
      </c>
      <c r="F11" s="54"/>
      <c r="G11" s="54"/>
      <c r="H11" s="177" t="s">
        <v>2042</v>
      </c>
      <c r="I11" s="92"/>
      <c r="J11" s="92"/>
      <c r="K11" s="92"/>
      <c r="L11" s="92"/>
      <c r="M11" s="92"/>
      <c r="N11" s="92"/>
      <c r="O11" s="190" t="s">
        <v>1138</v>
      </c>
      <c r="P11" s="174"/>
      <c r="Q11" s="174"/>
      <c r="R11" s="191"/>
    </row>
    <row r="12" spans="1:18" ht="12.75">
      <c r="A12" s="54" t="s">
        <v>1620</v>
      </c>
      <c r="B12" s="54">
        <v>186</v>
      </c>
      <c r="C12" s="55">
        <f t="shared" si="0"/>
        <v>6.560956951550825</v>
      </c>
      <c r="D12" s="55">
        <f>C12/16</f>
        <v>0.41005980947192655</v>
      </c>
      <c r="E12" s="96" t="s">
        <v>648</v>
      </c>
      <c r="F12" s="54"/>
      <c r="G12" s="54"/>
      <c r="H12" s="177" t="s">
        <v>1317</v>
      </c>
      <c r="I12" s="92"/>
      <c r="J12" s="92"/>
      <c r="K12" s="92"/>
      <c r="L12" s="92"/>
      <c r="M12" s="92"/>
      <c r="N12" s="92"/>
      <c r="O12" s="192"/>
      <c r="P12" s="92" t="s">
        <v>1137</v>
      </c>
      <c r="Q12" s="92"/>
      <c r="R12" s="193"/>
    </row>
    <row r="13" spans="1:18" ht="12.75">
      <c r="A13" s="54" t="s">
        <v>449</v>
      </c>
      <c r="B13" s="57">
        <v>1037</v>
      </c>
      <c r="C13" s="55">
        <f t="shared" si="0"/>
        <v>36.5790987030011</v>
      </c>
      <c r="D13" s="55">
        <f>C13/16</f>
        <v>2.286193668937569</v>
      </c>
      <c r="E13" s="96" t="s">
        <v>653</v>
      </c>
      <c r="F13" s="54"/>
      <c r="G13" s="54"/>
      <c r="H13" s="92" t="s">
        <v>650</v>
      </c>
      <c r="I13" s="57">
        <v>500</v>
      </c>
      <c r="J13" s="92" t="s">
        <v>651</v>
      </c>
      <c r="K13" s="57">
        <v>537</v>
      </c>
      <c r="L13" s="92" t="s">
        <v>652</v>
      </c>
      <c r="M13" s="92"/>
      <c r="N13" s="92"/>
      <c r="O13" s="196">
        <f>SUM(B11:B15)</f>
        <v>1469</v>
      </c>
      <c r="P13" s="55">
        <f>O13/28.349523</f>
        <v>51.81745033240947</v>
      </c>
      <c r="Q13" s="55">
        <f>P13/16</f>
        <v>3.238590645775592</v>
      </c>
      <c r="R13" s="193"/>
    </row>
    <row r="14" spans="1:18" ht="12.75">
      <c r="A14" s="54" t="s">
        <v>1597</v>
      </c>
      <c r="B14" s="57">
        <v>14</v>
      </c>
      <c r="C14" s="55">
        <f t="shared" si="0"/>
        <v>0.4938354694715675</v>
      </c>
      <c r="D14" s="55"/>
      <c r="E14" s="96" t="s">
        <v>1316</v>
      </c>
      <c r="F14" s="54"/>
      <c r="G14" s="54"/>
      <c r="H14" s="92" t="s">
        <v>1318</v>
      </c>
      <c r="I14" s="92"/>
      <c r="J14" s="92"/>
      <c r="K14" s="92"/>
      <c r="L14" s="92"/>
      <c r="M14" s="92"/>
      <c r="N14" s="92"/>
      <c r="O14" s="192" t="s">
        <v>1603</v>
      </c>
      <c r="P14" s="92" t="s">
        <v>463</v>
      </c>
      <c r="Q14" s="92" t="s">
        <v>1139</v>
      </c>
      <c r="R14" s="193"/>
    </row>
    <row r="15" spans="1:18" ht="13.5" thickBot="1">
      <c r="A15" s="54" t="s">
        <v>1620</v>
      </c>
      <c r="B15" s="57">
        <v>111</v>
      </c>
      <c r="C15" s="55">
        <f t="shared" si="0"/>
        <v>3.9154097936674277</v>
      </c>
      <c r="D15" s="55">
        <f>C15/16</f>
        <v>0.24471311210421423</v>
      </c>
      <c r="E15" s="96" t="s">
        <v>654</v>
      </c>
      <c r="F15" s="54"/>
      <c r="G15" s="54"/>
      <c r="H15" s="139" t="s">
        <v>2088</v>
      </c>
      <c r="I15" s="92"/>
      <c r="J15" s="92"/>
      <c r="K15" s="92"/>
      <c r="L15" s="92"/>
      <c r="M15" s="92"/>
      <c r="N15" s="92"/>
      <c r="O15" s="194"/>
      <c r="P15" s="176"/>
      <c r="Q15" s="176"/>
      <c r="R15" s="195"/>
    </row>
    <row r="16" spans="1:18" ht="12.75">
      <c r="A16" s="147" t="s">
        <v>1620</v>
      </c>
      <c r="B16" s="57">
        <v>8</v>
      </c>
      <c r="C16" s="55">
        <v>0.3527396210511196</v>
      </c>
      <c r="D16" s="55"/>
      <c r="E16" s="58" t="s">
        <v>1431</v>
      </c>
      <c r="F16" s="54"/>
      <c r="G16" s="54"/>
      <c r="H16" s="92"/>
      <c r="I16" s="92"/>
      <c r="J16" s="92"/>
      <c r="K16" s="92"/>
      <c r="L16" s="92"/>
      <c r="M16" s="92"/>
      <c r="N16" s="92"/>
      <c r="O16" s="92"/>
      <c r="P16" s="92"/>
      <c r="Q16" s="92"/>
      <c r="R16" s="92"/>
    </row>
    <row r="17" spans="1:18" ht="12.75">
      <c r="A17" s="54" t="s">
        <v>1620</v>
      </c>
      <c r="B17" s="57">
        <v>26</v>
      </c>
      <c r="C17" s="55">
        <f>B17/28.349523</f>
        <v>0.917123014732911</v>
      </c>
      <c r="D17" s="55"/>
      <c r="E17" s="96" t="s">
        <v>18</v>
      </c>
      <c r="F17" s="54"/>
      <c r="G17" s="54"/>
      <c r="H17" s="139" t="s">
        <v>19</v>
      </c>
      <c r="I17" s="92"/>
      <c r="J17" s="92"/>
      <c r="K17" s="92"/>
      <c r="L17" s="92"/>
      <c r="M17" s="92"/>
      <c r="N17" s="92"/>
      <c r="O17" s="92"/>
      <c r="P17" s="92"/>
      <c r="Q17" s="92"/>
      <c r="R17" s="92"/>
    </row>
    <row r="18" spans="1:18" ht="12.75">
      <c r="A18" s="182" t="s">
        <v>1620</v>
      </c>
      <c r="B18" s="68">
        <v>37</v>
      </c>
      <c r="C18" s="69">
        <f>B18/28.349523</f>
        <v>1.3051365978891425</v>
      </c>
      <c r="D18" s="183"/>
      <c r="E18" s="187" t="s">
        <v>414</v>
      </c>
      <c r="F18" s="67"/>
      <c r="G18" s="67"/>
      <c r="H18" s="149" t="s">
        <v>9</v>
      </c>
      <c r="I18" s="92"/>
      <c r="J18" s="92"/>
      <c r="K18" s="92"/>
      <c r="L18" s="92"/>
      <c r="M18" s="92"/>
      <c r="N18" s="92"/>
      <c r="O18" s="92"/>
      <c r="P18" s="92"/>
      <c r="Q18" s="92"/>
      <c r="R18" s="92"/>
    </row>
    <row r="19" spans="1:19" ht="12.75">
      <c r="A19" s="147" t="s">
        <v>887</v>
      </c>
      <c r="B19" s="54"/>
      <c r="C19" s="54"/>
      <c r="D19" s="87"/>
      <c r="E19" s="118" t="s">
        <v>2087</v>
      </c>
      <c r="F19" s="54"/>
      <c r="G19" s="54"/>
      <c r="H19" s="156" t="s">
        <v>2090</v>
      </c>
      <c r="I19" s="72"/>
      <c r="J19" s="72"/>
      <c r="K19" s="72"/>
      <c r="L19" s="72"/>
      <c r="M19" s="72"/>
      <c r="N19" s="73"/>
      <c r="O19" s="92"/>
      <c r="P19" s="92"/>
      <c r="Q19" s="92"/>
      <c r="R19" s="92"/>
      <c r="S19" s="92"/>
    </row>
    <row r="20" spans="1:19" ht="12.75">
      <c r="A20" s="147" t="s">
        <v>1620</v>
      </c>
      <c r="B20" s="57">
        <v>124</v>
      </c>
      <c r="C20" s="55">
        <f>B20/28.349523</f>
        <v>4.373971301033883</v>
      </c>
      <c r="D20" s="55">
        <f>C20/16</f>
        <v>0.2733732063146177</v>
      </c>
      <c r="E20" s="118" t="s">
        <v>15</v>
      </c>
      <c r="F20" s="54"/>
      <c r="G20" s="54"/>
      <c r="H20" s="157" t="s">
        <v>2089</v>
      </c>
      <c r="I20" s="92"/>
      <c r="J20" s="92"/>
      <c r="K20" s="92"/>
      <c r="L20" s="92"/>
      <c r="M20" s="92"/>
      <c r="N20" s="153"/>
      <c r="O20" s="92"/>
      <c r="P20" s="92"/>
      <c r="Q20" s="92"/>
      <c r="R20" s="92"/>
      <c r="S20" s="92"/>
    </row>
    <row r="21" spans="1:19" ht="12.75">
      <c r="A21" s="147" t="s">
        <v>887</v>
      </c>
      <c r="B21" s="57"/>
      <c r="C21" s="55"/>
      <c r="D21" s="87"/>
      <c r="E21" s="118" t="s">
        <v>14</v>
      </c>
      <c r="F21" s="54"/>
      <c r="G21" s="54"/>
      <c r="H21" s="158" t="s">
        <v>2091</v>
      </c>
      <c r="I21" s="154"/>
      <c r="J21" s="154"/>
      <c r="K21" s="154"/>
      <c r="L21" s="154"/>
      <c r="M21" s="154"/>
      <c r="N21" s="155"/>
      <c r="O21" s="92"/>
      <c r="P21" s="92"/>
      <c r="Q21" s="92"/>
      <c r="R21" s="92"/>
      <c r="S21" s="92"/>
    </row>
    <row r="22" spans="1:19" ht="12.75">
      <c r="A22" s="184" t="s">
        <v>1620</v>
      </c>
      <c r="B22" s="185">
        <v>5</v>
      </c>
      <c r="C22" s="179"/>
      <c r="D22" s="186"/>
      <c r="E22" s="188" t="s">
        <v>17</v>
      </c>
      <c r="F22" s="172"/>
      <c r="G22" s="172"/>
      <c r="H22" s="149" t="s">
        <v>1192</v>
      </c>
      <c r="I22" s="92"/>
      <c r="J22" s="92"/>
      <c r="K22" s="92"/>
      <c r="L22" s="92"/>
      <c r="M22" s="92"/>
      <c r="N22" s="92"/>
      <c r="O22" s="92"/>
      <c r="P22" s="92"/>
      <c r="Q22" s="92"/>
      <c r="R22" s="92"/>
      <c r="S22" s="92"/>
    </row>
    <row r="23" spans="1:18" ht="12.75">
      <c r="A23" s="147" t="s">
        <v>1620</v>
      </c>
      <c r="B23" s="54">
        <v>60</v>
      </c>
      <c r="C23" s="55">
        <f aca="true" t="shared" si="1" ref="C23:C29">B23/28.349523</f>
        <v>2.116437726306718</v>
      </c>
      <c r="D23" s="55"/>
      <c r="E23" s="59" t="s">
        <v>880</v>
      </c>
      <c r="F23" s="54"/>
      <c r="G23" s="54"/>
      <c r="H23" s="92"/>
      <c r="I23" s="92"/>
      <c r="J23" s="92"/>
      <c r="K23" s="92"/>
      <c r="L23" s="92"/>
      <c r="M23" s="92"/>
      <c r="N23" s="92"/>
      <c r="O23" s="92"/>
      <c r="P23" s="92"/>
      <c r="Q23" s="92"/>
      <c r="R23" s="92"/>
    </row>
    <row r="24" spans="1:18" ht="12.75">
      <c r="A24" s="54" t="s">
        <v>1620</v>
      </c>
      <c r="B24" s="54">
        <v>14</v>
      </c>
      <c r="C24" s="55">
        <f t="shared" si="1"/>
        <v>0.4938354694715675</v>
      </c>
      <c r="D24" s="54"/>
      <c r="E24" s="54" t="s">
        <v>1221</v>
      </c>
      <c r="F24" s="54"/>
      <c r="G24" s="54"/>
      <c r="H24" s="149" t="s">
        <v>2092</v>
      </c>
      <c r="I24" s="92"/>
      <c r="J24" s="92"/>
      <c r="K24" s="92"/>
      <c r="L24" s="92"/>
      <c r="M24" s="92"/>
      <c r="N24" s="92"/>
      <c r="O24" s="92"/>
      <c r="P24" s="92"/>
      <c r="Q24" s="92"/>
      <c r="R24" s="92"/>
    </row>
    <row r="25" spans="1:18" ht="12.75">
      <c r="A25" s="54" t="s">
        <v>1620</v>
      </c>
      <c r="B25" s="57">
        <v>20</v>
      </c>
      <c r="C25" s="55">
        <f t="shared" si="1"/>
        <v>0.7054792421022392</v>
      </c>
      <c r="D25" s="55"/>
      <c r="E25" s="54" t="s">
        <v>655</v>
      </c>
      <c r="F25" s="54"/>
      <c r="G25" s="54"/>
      <c r="H25" s="66" t="s">
        <v>1432</v>
      </c>
      <c r="I25" s="92"/>
      <c r="J25" s="92"/>
      <c r="K25" s="92"/>
      <c r="L25" s="92"/>
      <c r="M25" s="92"/>
      <c r="N25" s="92"/>
      <c r="O25" s="92"/>
      <c r="P25" s="92"/>
      <c r="Q25" s="92"/>
      <c r="R25" s="92"/>
    </row>
    <row r="26" spans="1:18" ht="12.75">
      <c r="A26" s="54" t="s">
        <v>1620</v>
      </c>
      <c r="B26" s="57">
        <v>14</v>
      </c>
      <c r="C26" s="55">
        <f t="shared" si="1"/>
        <v>0.4938354694715675</v>
      </c>
      <c r="D26" s="87"/>
      <c r="E26" s="56" t="s">
        <v>342</v>
      </c>
      <c r="F26" s="54"/>
      <c r="G26" s="54"/>
      <c r="H26" s="178" t="s">
        <v>341</v>
      </c>
      <c r="I26" s="92"/>
      <c r="J26" s="92"/>
      <c r="K26" s="92"/>
      <c r="L26" s="92"/>
      <c r="M26" s="92"/>
      <c r="N26" s="92"/>
      <c r="O26" s="92"/>
      <c r="P26" s="92"/>
      <c r="Q26" s="92"/>
      <c r="R26" s="92"/>
    </row>
    <row r="27" spans="1:18" ht="12.75">
      <c r="A27" s="54" t="s">
        <v>1620</v>
      </c>
      <c r="B27" s="57">
        <v>14</v>
      </c>
      <c r="C27" s="55">
        <f t="shared" si="1"/>
        <v>0.4938354694715675</v>
      </c>
      <c r="D27" s="87"/>
      <c r="E27" s="97" t="s">
        <v>1319</v>
      </c>
      <c r="F27" s="54"/>
      <c r="G27" s="54"/>
      <c r="H27" s="95" t="s">
        <v>1320</v>
      </c>
      <c r="I27" s="92"/>
      <c r="J27" s="92"/>
      <c r="K27" s="92"/>
      <c r="L27" s="92"/>
      <c r="M27" s="92"/>
      <c r="N27" s="92"/>
      <c r="O27" s="92"/>
      <c r="P27" s="92"/>
      <c r="Q27" s="92"/>
      <c r="R27" s="92"/>
    </row>
    <row r="28" spans="1:18" ht="12.75">
      <c r="A28" s="54" t="s">
        <v>1620</v>
      </c>
      <c r="B28" s="57">
        <v>135</v>
      </c>
      <c r="C28" s="55">
        <f t="shared" si="1"/>
        <v>4.761984884190115</v>
      </c>
      <c r="D28" s="55">
        <f>C28/16</f>
        <v>0.2976240552618822</v>
      </c>
      <c r="E28" s="97" t="s">
        <v>399</v>
      </c>
      <c r="F28" s="54"/>
      <c r="G28" s="54"/>
      <c r="H28" s="95" t="s">
        <v>7</v>
      </c>
      <c r="I28" s="92"/>
      <c r="J28" s="92"/>
      <c r="K28" s="92"/>
      <c r="L28" s="92"/>
      <c r="M28" s="92"/>
      <c r="N28" s="92"/>
      <c r="O28" s="92"/>
      <c r="P28" s="92"/>
      <c r="Q28" s="92"/>
      <c r="R28" s="92"/>
    </row>
    <row r="29" spans="1:18" ht="12.75">
      <c r="A29" s="54" t="s">
        <v>1620</v>
      </c>
      <c r="B29" s="54">
        <v>21</v>
      </c>
      <c r="C29" s="55">
        <f t="shared" si="1"/>
        <v>0.7407532042073511</v>
      </c>
      <c r="D29" s="54"/>
      <c r="E29" s="54" t="s">
        <v>646</v>
      </c>
      <c r="F29" s="54"/>
      <c r="G29" s="54"/>
      <c r="H29" s="95" t="s">
        <v>245</v>
      </c>
      <c r="I29" s="92"/>
      <c r="J29" s="92"/>
      <c r="K29" s="92"/>
      <c r="L29" s="92"/>
      <c r="M29" s="92"/>
      <c r="N29" s="92"/>
      <c r="O29" s="92"/>
      <c r="P29" s="92"/>
      <c r="Q29" s="92"/>
      <c r="R29" s="92"/>
    </row>
    <row r="30" spans="1:18" ht="12.75">
      <c r="A30" s="54" t="s">
        <v>1620</v>
      </c>
      <c r="B30" s="57">
        <v>814</v>
      </c>
      <c r="C30" s="55">
        <f aca="true" t="shared" si="2" ref="C30:C41">B30/28.349523</f>
        <v>28.713005153561138</v>
      </c>
      <c r="D30" s="55">
        <f>C30/16</f>
        <v>1.7945628220975711</v>
      </c>
      <c r="E30" s="54" t="s">
        <v>647</v>
      </c>
      <c r="F30" s="54"/>
      <c r="G30" s="54"/>
      <c r="H30" s="92" t="s">
        <v>656</v>
      </c>
      <c r="I30" s="92"/>
      <c r="J30" s="92"/>
      <c r="K30" s="92"/>
      <c r="L30" s="92"/>
      <c r="M30" s="92"/>
      <c r="N30" s="92"/>
      <c r="O30" s="92"/>
      <c r="P30" s="92"/>
      <c r="Q30" s="92"/>
      <c r="R30" s="92"/>
    </row>
    <row r="31" spans="1:18" ht="12.75">
      <c r="A31" s="54" t="s">
        <v>1620</v>
      </c>
      <c r="B31" s="57">
        <v>243</v>
      </c>
      <c r="C31" s="55">
        <f t="shared" si="2"/>
        <v>8.571572791542206</v>
      </c>
      <c r="D31" s="55">
        <f>C31/16</f>
        <v>0.5357232994713879</v>
      </c>
      <c r="E31" s="147" t="s">
        <v>659</v>
      </c>
      <c r="F31" s="54"/>
      <c r="G31" s="54"/>
      <c r="H31" s="139" t="s">
        <v>246</v>
      </c>
      <c r="I31" s="92"/>
      <c r="J31" s="92"/>
      <c r="K31" s="92"/>
      <c r="L31" s="92"/>
      <c r="M31" s="92"/>
      <c r="N31" s="92"/>
      <c r="O31" s="92"/>
      <c r="P31" s="92"/>
      <c r="Q31" s="92"/>
      <c r="R31" s="92"/>
    </row>
    <row r="32" spans="1:18" ht="12.75">
      <c r="A32" s="147" t="s">
        <v>1620</v>
      </c>
      <c r="B32" s="57">
        <v>236</v>
      </c>
      <c r="C32" s="55">
        <f t="shared" si="2"/>
        <v>8.324655056806423</v>
      </c>
      <c r="D32" s="55">
        <f>C32/16</f>
        <v>0.5202909410504014</v>
      </c>
      <c r="E32" s="54" t="s">
        <v>2005</v>
      </c>
      <c r="F32" s="87"/>
      <c r="G32" s="54"/>
      <c r="H32" s="92" t="s">
        <v>2071</v>
      </c>
      <c r="I32" s="92"/>
      <c r="J32" s="92"/>
      <c r="K32" s="92"/>
      <c r="L32" s="92"/>
      <c r="M32" s="92"/>
      <c r="N32" s="92"/>
      <c r="O32" s="92"/>
      <c r="P32" s="92"/>
      <c r="Q32" s="92"/>
      <c r="R32" s="92"/>
    </row>
    <row r="33" spans="1:18" ht="12.75">
      <c r="A33" s="54" t="s">
        <v>1620</v>
      </c>
      <c r="B33" s="57">
        <v>86</v>
      </c>
      <c r="C33" s="55">
        <f t="shared" si="2"/>
        <v>3.033560741039629</v>
      </c>
      <c r="D33" s="55"/>
      <c r="E33" s="54" t="s">
        <v>2008</v>
      </c>
      <c r="F33" s="87"/>
      <c r="G33" s="54"/>
      <c r="H33" s="92" t="s">
        <v>2007</v>
      </c>
      <c r="I33" s="92"/>
      <c r="J33" s="92"/>
      <c r="K33" s="92"/>
      <c r="L33" s="92"/>
      <c r="M33" s="92"/>
      <c r="N33" s="92"/>
      <c r="O33" s="92"/>
      <c r="P33" s="92"/>
      <c r="Q33" s="92"/>
      <c r="R33" s="92"/>
    </row>
    <row r="34" spans="1:18" ht="12.75">
      <c r="A34" s="54" t="s">
        <v>1620</v>
      </c>
      <c r="B34" s="54">
        <v>85</v>
      </c>
      <c r="C34" s="55">
        <f t="shared" si="2"/>
        <v>2.9982867789345167</v>
      </c>
      <c r="D34" s="55"/>
      <c r="E34" s="54" t="s">
        <v>2011</v>
      </c>
      <c r="F34" s="54"/>
      <c r="G34" s="54"/>
      <c r="H34" s="66" t="s">
        <v>2012</v>
      </c>
      <c r="I34" s="92"/>
      <c r="J34" s="92"/>
      <c r="K34" s="92"/>
      <c r="L34" s="92"/>
      <c r="M34" s="92"/>
      <c r="N34" s="92"/>
      <c r="O34" s="92"/>
      <c r="P34" s="92"/>
      <c r="Q34" s="92"/>
      <c r="R34" s="92"/>
    </row>
    <row r="35" spans="1:18" ht="12.75">
      <c r="A35" s="54" t="s">
        <v>1620</v>
      </c>
      <c r="B35" s="54">
        <v>15</v>
      </c>
      <c r="C35" s="55">
        <f t="shared" si="2"/>
        <v>0.5291094315766794</v>
      </c>
      <c r="D35" s="55"/>
      <c r="E35" s="54" t="s">
        <v>222</v>
      </c>
      <c r="F35" s="54"/>
      <c r="G35" s="54"/>
      <c r="H35" s="139" t="s">
        <v>8</v>
      </c>
      <c r="I35" s="92"/>
      <c r="J35" s="92"/>
      <c r="K35" s="92"/>
      <c r="L35" s="92"/>
      <c r="M35" s="92"/>
      <c r="N35" s="92"/>
      <c r="O35" s="92"/>
      <c r="P35" s="92"/>
      <c r="Q35" s="92"/>
      <c r="R35" s="92"/>
    </row>
    <row r="36" spans="1:18" ht="12.75">
      <c r="A36" s="54" t="s">
        <v>1620</v>
      </c>
      <c r="B36" s="54">
        <v>18</v>
      </c>
      <c r="C36" s="55">
        <f t="shared" si="2"/>
        <v>0.6349313178920153</v>
      </c>
      <c r="D36" s="55"/>
      <c r="E36" s="54" t="s">
        <v>2017</v>
      </c>
      <c r="F36" s="54"/>
      <c r="G36" s="54"/>
      <c r="H36" s="139" t="s">
        <v>432</v>
      </c>
      <c r="I36" s="92"/>
      <c r="J36" s="92"/>
      <c r="K36" s="92"/>
      <c r="L36" s="92"/>
      <c r="M36" s="92"/>
      <c r="N36" s="92"/>
      <c r="O36" s="92"/>
      <c r="P36" s="92"/>
      <c r="Q36" s="92"/>
      <c r="R36" s="92"/>
    </row>
    <row r="37" spans="1:18" ht="12.75">
      <c r="A37" s="147" t="s">
        <v>1620</v>
      </c>
      <c r="B37" s="57">
        <v>60</v>
      </c>
      <c r="C37" s="55">
        <f>B37/28.349523</f>
        <v>2.116437726306718</v>
      </c>
      <c r="D37" s="55"/>
      <c r="E37" s="56" t="s">
        <v>23</v>
      </c>
      <c r="F37" s="54"/>
      <c r="G37" s="54"/>
      <c r="H37" s="92"/>
      <c r="I37" s="92"/>
      <c r="J37" s="92"/>
      <c r="K37" s="92"/>
      <c r="L37" s="92"/>
      <c r="M37" s="92"/>
      <c r="N37" s="92"/>
      <c r="O37" s="92"/>
      <c r="P37" s="92"/>
      <c r="Q37" s="92"/>
      <c r="R37" s="92"/>
    </row>
    <row r="38" spans="1:18" ht="12.75">
      <c r="A38" s="147" t="s">
        <v>1620</v>
      </c>
      <c r="B38" s="147">
        <v>24</v>
      </c>
      <c r="C38" s="55">
        <f t="shared" si="2"/>
        <v>0.8465750905226871</v>
      </c>
      <c r="D38" s="160"/>
      <c r="E38" s="97" t="s">
        <v>321</v>
      </c>
      <c r="F38" s="54"/>
      <c r="G38" s="54"/>
      <c r="H38" s="92" t="s">
        <v>21</v>
      </c>
      <c r="I38" s="92"/>
      <c r="J38" s="92"/>
      <c r="K38" s="92"/>
      <c r="L38" s="92"/>
      <c r="M38" s="92"/>
      <c r="N38" s="92"/>
      <c r="O38" s="92"/>
      <c r="P38" s="92"/>
      <c r="Q38" s="92"/>
      <c r="R38" s="92"/>
    </row>
    <row r="39" spans="1:18" ht="12.75">
      <c r="A39" s="54" t="s">
        <v>1620</v>
      </c>
      <c r="B39" s="54">
        <v>36</v>
      </c>
      <c r="C39" s="55">
        <f t="shared" si="2"/>
        <v>1.2698626357840306</v>
      </c>
      <c r="D39" s="55"/>
      <c r="E39" s="147" t="s">
        <v>322</v>
      </c>
      <c r="F39" s="54"/>
      <c r="G39" s="54"/>
      <c r="H39" s="150" t="s">
        <v>2018</v>
      </c>
      <c r="I39" s="92"/>
      <c r="J39" s="92"/>
      <c r="K39" s="92"/>
      <c r="L39" s="92"/>
      <c r="M39" s="92"/>
      <c r="N39" s="92"/>
      <c r="O39" s="92"/>
      <c r="P39" s="92"/>
      <c r="Q39" s="92"/>
      <c r="R39" s="92"/>
    </row>
    <row r="40" spans="1:18" ht="12.75">
      <c r="A40" s="147" t="s">
        <v>1620</v>
      </c>
      <c r="B40" s="61">
        <v>277</v>
      </c>
      <c r="C40" s="55">
        <f t="shared" si="2"/>
        <v>9.770887503116013</v>
      </c>
      <c r="D40" s="55">
        <f>C40/16</f>
        <v>0.6106804689447508</v>
      </c>
      <c r="E40" s="96" t="s">
        <v>2019</v>
      </c>
      <c r="F40" s="87"/>
      <c r="G40" s="54"/>
      <c r="H40" s="139" t="s">
        <v>2020</v>
      </c>
      <c r="I40" s="92"/>
      <c r="J40" s="92"/>
      <c r="K40" s="92"/>
      <c r="L40" s="92"/>
      <c r="M40" s="92"/>
      <c r="N40" s="92"/>
      <c r="O40" s="92"/>
      <c r="P40" s="92"/>
      <c r="Q40" s="92"/>
      <c r="R40" s="92"/>
    </row>
    <row r="41" spans="1:18" ht="12.75">
      <c r="A41" s="54" t="s">
        <v>1620</v>
      </c>
      <c r="B41" s="54">
        <v>5</v>
      </c>
      <c r="C41" s="55">
        <f t="shared" si="2"/>
        <v>0.1763698105255598</v>
      </c>
      <c r="D41" s="55"/>
      <c r="E41" s="54" t="s">
        <v>28</v>
      </c>
      <c r="F41" s="54"/>
      <c r="G41" s="54"/>
      <c r="H41" s="150" t="s">
        <v>29</v>
      </c>
      <c r="I41" s="92"/>
      <c r="J41" s="92"/>
      <c r="K41" s="92"/>
      <c r="L41" s="92"/>
      <c r="M41" s="92"/>
      <c r="N41" s="92"/>
      <c r="O41" s="92"/>
      <c r="P41" s="92"/>
      <c r="Q41" s="92"/>
      <c r="R41" s="92"/>
    </row>
    <row r="42" spans="1:18" ht="12.75">
      <c r="A42" s="54" t="s">
        <v>1620</v>
      </c>
      <c r="B42" s="54">
        <v>18</v>
      </c>
      <c r="C42" s="55">
        <f aca="true" t="shared" si="3" ref="C42:C54">B42/28.349523</f>
        <v>0.6349313178920153</v>
      </c>
      <c r="D42" s="54"/>
      <c r="E42" s="54" t="s">
        <v>26</v>
      </c>
      <c r="F42" s="54"/>
      <c r="G42" s="54"/>
      <c r="H42" s="150" t="s">
        <v>27</v>
      </c>
      <c r="I42" s="92"/>
      <c r="J42" s="92"/>
      <c r="K42" s="92"/>
      <c r="L42" s="92"/>
      <c r="M42" s="92"/>
      <c r="N42" s="92"/>
      <c r="O42" s="92"/>
      <c r="P42" s="92"/>
      <c r="Q42" s="92"/>
      <c r="R42" s="92"/>
    </row>
    <row r="43" spans="1:18" ht="12.75">
      <c r="A43" s="54" t="s">
        <v>20</v>
      </c>
      <c r="B43" s="57">
        <f>154+917</f>
        <v>1071</v>
      </c>
      <c r="C43" s="55">
        <f t="shared" si="3"/>
        <v>37.77841341457491</v>
      </c>
      <c r="D43" s="55">
        <f>C43/16</f>
        <v>2.361150838410932</v>
      </c>
      <c r="E43" s="54" t="s">
        <v>1774</v>
      </c>
      <c r="F43" s="54"/>
      <c r="G43" s="54"/>
      <c r="H43" s="92" t="s">
        <v>1771</v>
      </c>
      <c r="I43" s="92" t="s">
        <v>1772</v>
      </c>
      <c r="J43" s="92" t="s">
        <v>1773</v>
      </c>
      <c r="K43" s="92"/>
      <c r="L43" s="92"/>
      <c r="M43" s="92"/>
      <c r="N43" s="92"/>
      <c r="O43" s="94"/>
      <c r="P43" s="92"/>
      <c r="Q43" s="92"/>
      <c r="R43" s="92"/>
    </row>
    <row r="44" spans="1:18" ht="12.75">
      <c r="A44" s="54" t="s">
        <v>1620</v>
      </c>
      <c r="B44" s="57">
        <f>46/4</f>
        <v>11.5</v>
      </c>
      <c r="C44" s="55">
        <f t="shared" si="3"/>
        <v>0.40565056420878753</v>
      </c>
      <c r="D44" s="55"/>
      <c r="E44" s="147" t="s">
        <v>1776</v>
      </c>
      <c r="F44" s="87"/>
      <c r="G44" s="54"/>
      <c r="H44" s="138" t="s">
        <v>1478</v>
      </c>
      <c r="I44" s="92"/>
      <c r="J44" s="94"/>
      <c r="K44" s="92"/>
      <c r="L44" s="92"/>
      <c r="M44" s="92"/>
      <c r="N44" s="92"/>
      <c r="O44" s="92"/>
      <c r="P44" s="92"/>
      <c r="Q44" s="92"/>
      <c r="R44" s="92"/>
    </row>
    <row r="45" spans="1:18" ht="12.75">
      <c r="A45" s="54" t="s">
        <v>1620</v>
      </c>
      <c r="B45" s="57">
        <v>57</v>
      </c>
      <c r="C45" s="55">
        <f t="shared" si="3"/>
        <v>2.010615839991382</v>
      </c>
      <c r="D45" s="55"/>
      <c r="E45" s="58" t="s">
        <v>1315</v>
      </c>
      <c r="F45" s="54"/>
      <c r="G45" s="54"/>
      <c r="H45" s="126" t="s">
        <v>2093</v>
      </c>
      <c r="I45" s="92"/>
      <c r="J45" s="92"/>
      <c r="K45" s="92"/>
      <c r="L45" s="92"/>
      <c r="M45" s="92"/>
      <c r="N45" s="92"/>
      <c r="O45" s="92"/>
      <c r="P45" s="92"/>
      <c r="Q45" s="92"/>
      <c r="R45" s="92"/>
    </row>
    <row r="46" spans="1:18" ht="12.75">
      <c r="A46" s="54" t="s">
        <v>1775</v>
      </c>
      <c r="B46" s="54">
        <v>290</v>
      </c>
      <c r="C46" s="55">
        <f t="shared" si="3"/>
        <v>10.229449010482469</v>
      </c>
      <c r="D46" s="55">
        <f>C46/16</f>
        <v>0.6393405631551543</v>
      </c>
      <c r="E46" s="54" t="s">
        <v>1769</v>
      </c>
      <c r="F46" s="54"/>
      <c r="G46" s="54"/>
      <c r="H46" s="92" t="s">
        <v>1770</v>
      </c>
      <c r="I46" s="92"/>
      <c r="J46" s="92"/>
      <c r="K46" s="92"/>
      <c r="L46" s="92">
        <f>286-37</f>
        <v>249</v>
      </c>
      <c r="M46" s="55">
        <f>L46/28.349523</f>
        <v>8.783216564172879</v>
      </c>
      <c r="N46" s="92" t="s">
        <v>2016</v>
      </c>
      <c r="O46" s="92"/>
      <c r="P46" s="92"/>
      <c r="Q46" s="92"/>
      <c r="R46" s="92"/>
    </row>
    <row r="47" spans="1:18" ht="12.75">
      <c r="A47" s="54" t="s">
        <v>1775</v>
      </c>
      <c r="B47" s="57">
        <v>51</v>
      </c>
      <c r="C47" s="55">
        <f aca="true" t="shared" si="4" ref="C47:C52">B47/28.349523</f>
        <v>1.79897206736071</v>
      </c>
      <c r="D47" s="55"/>
      <c r="E47" s="54" t="s">
        <v>393</v>
      </c>
      <c r="F47" s="87"/>
      <c r="G47" s="54"/>
      <c r="H47" s="92" t="s">
        <v>394</v>
      </c>
      <c r="I47" s="92"/>
      <c r="J47" s="92"/>
      <c r="K47" s="92"/>
      <c r="L47" s="92"/>
      <c r="M47" s="94"/>
      <c r="N47" s="92"/>
      <c r="O47" s="134"/>
      <c r="P47" s="92"/>
      <c r="Q47" s="92"/>
      <c r="R47" s="92"/>
    </row>
    <row r="48" spans="1:18" ht="12.75">
      <c r="A48" s="54" t="s">
        <v>449</v>
      </c>
      <c r="B48" s="57">
        <v>97</v>
      </c>
      <c r="C48" s="55">
        <f t="shared" si="4"/>
        <v>3.42157432419586</v>
      </c>
      <c r="D48" s="55">
        <f>C48/16</f>
        <v>0.21384839526224125</v>
      </c>
      <c r="E48" s="54" t="s">
        <v>1445</v>
      </c>
      <c r="F48" s="54"/>
      <c r="G48" s="54"/>
      <c r="H48" s="92" t="s">
        <v>1188</v>
      </c>
      <c r="I48" s="92"/>
      <c r="J48" s="92"/>
      <c r="K48" s="92"/>
      <c r="L48" s="92"/>
      <c r="M48" s="92"/>
      <c r="N48" s="92"/>
      <c r="O48" s="92"/>
      <c r="P48" s="92"/>
      <c r="Q48" s="92"/>
      <c r="R48" s="92"/>
    </row>
    <row r="49" spans="1:18" ht="12.75">
      <c r="A49" s="54" t="s">
        <v>1621</v>
      </c>
      <c r="B49" s="57">
        <v>832</v>
      </c>
      <c r="C49" s="55">
        <f t="shared" si="4"/>
        <v>29.347936471453153</v>
      </c>
      <c r="D49" s="55">
        <f>C49/16</f>
        <v>1.834246029465822</v>
      </c>
      <c r="E49" s="62" t="s">
        <v>1830</v>
      </c>
      <c r="F49" s="54"/>
      <c r="G49" s="54"/>
      <c r="H49" s="93" t="s">
        <v>1203</v>
      </c>
      <c r="I49" s="92"/>
      <c r="J49" s="94"/>
      <c r="K49" s="93"/>
      <c r="L49" s="175"/>
      <c r="M49" s="93"/>
      <c r="N49" s="175"/>
      <c r="O49" s="92"/>
      <c r="P49" s="92"/>
      <c r="Q49" s="92"/>
      <c r="R49" s="92"/>
    </row>
    <row r="50" spans="1:18" ht="12.75">
      <c r="A50" s="54" t="s">
        <v>1621</v>
      </c>
      <c r="B50" s="61">
        <v>158</v>
      </c>
      <c r="C50" s="55">
        <f t="shared" si="4"/>
        <v>5.5732860126076895</v>
      </c>
      <c r="D50" s="55">
        <f>C50/16</f>
        <v>0.3483303757879806</v>
      </c>
      <c r="E50" s="62" t="s">
        <v>1625</v>
      </c>
      <c r="F50" s="54"/>
      <c r="G50" s="54"/>
      <c r="H50" s="139" t="s">
        <v>1527</v>
      </c>
      <c r="I50" s="92"/>
      <c r="J50" s="94"/>
      <c r="K50" s="93"/>
      <c r="L50" s="175"/>
      <c r="M50" s="93"/>
      <c r="N50" s="175"/>
      <c r="O50" s="92"/>
      <c r="P50" s="92"/>
      <c r="Q50" s="92"/>
      <c r="R50" s="92"/>
    </row>
    <row r="51" spans="1:18" ht="12.75">
      <c r="A51" s="54" t="s">
        <v>1621</v>
      </c>
      <c r="B51" s="61">
        <v>362</v>
      </c>
      <c r="C51" s="55">
        <f t="shared" si="4"/>
        <v>12.76917428205053</v>
      </c>
      <c r="D51" s="55">
        <f>C51/16</f>
        <v>0.7980733926281581</v>
      </c>
      <c r="E51" s="148" t="s">
        <v>1831</v>
      </c>
      <c r="F51" s="54"/>
      <c r="G51" s="54"/>
      <c r="H51" s="139" t="s">
        <v>997</v>
      </c>
      <c r="I51" s="92"/>
      <c r="J51" s="92"/>
      <c r="K51" s="92"/>
      <c r="L51" s="92"/>
      <c r="M51" s="92"/>
      <c r="N51" s="92"/>
      <c r="O51" s="92"/>
      <c r="P51" s="92"/>
      <c r="Q51" s="92"/>
      <c r="R51" s="92"/>
    </row>
    <row r="52" spans="1:18" ht="12.75">
      <c r="A52" s="54" t="s">
        <v>2009</v>
      </c>
      <c r="B52" s="57">
        <v>102</v>
      </c>
      <c r="C52" s="55">
        <f t="shared" si="4"/>
        <v>3.59794413472142</v>
      </c>
      <c r="D52" s="55"/>
      <c r="E52" s="54" t="s">
        <v>1682</v>
      </c>
      <c r="F52" s="87"/>
      <c r="G52" s="54"/>
      <c r="H52" s="92" t="s">
        <v>993</v>
      </c>
      <c r="I52" s="92"/>
      <c r="J52" s="92"/>
      <c r="K52" s="92"/>
      <c r="L52" s="92"/>
      <c r="M52" s="94"/>
      <c r="N52" s="92"/>
      <c r="O52" s="134"/>
      <c r="P52" s="92"/>
      <c r="Q52" s="92"/>
      <c r="R52" s="92"/>
    </row>
    <row r="53" spans="1:18" ht="13.5" thickBot="1">
      <c r="A53" s="67" t="s">
        <v>887</v>
      </c>
      <c r="B53" s="57">
        <f>SUM(B3:B52)</f>
        <v>7044.5</v>
      </c>
      <c r="C53" s="57">
        <f t="shared" si="3"/>
        <v>248.48742604946122</v>
      </c>
      <c r="D53" s="55">
        <f>C53/16</f>
        <v>15.530464128091326</v>
      </c>
      <c r="E53" s="54" t="s">
        <v>435</v>
      </c>
      <c r="F53" s="87"/>
      <c r="G53" s="54"/>
      <c r="H53" s="92"/>
      <c r="I53" s="92"/>
      <c r="J53" s="92"/>
      <c r="K53" s="92"/>
      <c r="L53" s="92"/>
      <c r="M53" s="94"/>
      <c r="N53" s="92"/>
      <c r="O53" s="134"/>
      <c r="P53" s="92"/>
      <c r="Q53" s="92"/>
      <c r="R53" s="92"/>
    </row>
    <row r="54" spans="1:18" ht="13.5" thickBot="1">
      <c r="A54" s="159" t="s">
        <v>887</v>
      </c>
      <c r="B54" s="103">
        <f>'Koip Food'!B37</f>
        <v>3817.5499999999997</v>
      </c>
      <c r="C54" s="57">
        <f t="shared" si="3"/>
        <v>134.66011403437017</v>
      </c>
      <c r="D54" s="55">
        <f>C54/16</f>
        <v>8.416257127148135</v>
      </c>
      <c r="E54" s="180" t="s">
        <v>1193</v>
      </c>
      <c r="F54" s="87"/>
      <c r="G54" s="54"/>
      <c r="H54" s="92"/>
      <c r="I54" s="92"/>
      <c r="J54" s="92"/>
      <c r="K54" s="92"/>
      <c r="L54" s="92"/>
      <c r="M54" s="94"/>
      <c r="N54" s="92"/>
      <c r="O54" s="134"/>
      <c r="P54" s="92"/>
      <c r="Q54" s="92"/>
      <c r="R54" s="92"/>
    </row>
    <row r="55" spans="1:18" ht="12.75">
      <c r="A55" s="172" t="s">
        <v>887</v>
      </c>
      <c r="B55" s="57">
        <f>B53+B54</f>
        <v>10862.05</v>
      </c>
      <c r="C55" s="57">
        <f>B55/28.349523</f>
        <v>383.14754008383136</v>
      </c>
      <c r="D55" s="55">
        <f>C55/16</f>
        <v>23.94672125523946</v>
      </c>
      <c r="E55" s="180" t="s">
        <v>440</v>
      </c>
      <c r="F55" s="87"/>
      <c r="G55" s="54"/>
      <c r="H55" s="92"/>
      <c r="I55" s="92"/>
      <c r="J55" s="92"/>
      <c r="K55" s="92"/>
      <c r="L55" s="92"/>
      <c r="M55" s="94"/>
      <c r="N55" s="92"/>
      <c r="O55" s="134"/>
      <c r="P55" s="92"/>
      <c r="Q55" s="92"/>
      <c r="R55" s="92"/>
    </row>
    <row r="56" spans="1:18" ht="12.75">
      <c r="A56" s="54" t="s">
        <v>887</v>
      </c>
      <c r="B56" s="57"/>
      <c r="C56" s="55"/>
      <c r="D56" s="55">
        <f>D55-('Koip Food'!D16)</f>
        <v>21.76414484998566</v>
      </c>
      <c r="E56" s="54" t="s">
        <v>438</v>
      </c>
      <c r="F56" s="87"/>
      <c r="G56" s="54"/>
      <c r="H56" s="92"/>
      <c r="I56" s="92"/>
      <c r="J56" s="92"/>
      <c r="K56" s="92"/>
      <c r="L56" s="92"/>
      <c r="M56" s="94"/>
      <c r="N56" s="92"/>
      <c r="O56" s="134"/>
      <c r="P56" s="92"/>
      <c r="Q56" s="92"/>
      <c r="R56" s="92"/>
    </row>
    <row r="57" spans="1:18" ht="12.75">
      <c r="A57" s="54" t="s">
        <v>2009</v>
      </c>
      <c r="B57" s="54">
        <v>29</v>
      </c>
      <c r="C57" s="55">
        <f>B57/28.349523</f>
        <v>1.0229449010482468</v>
      </c>
      <c r="D57" s="54"/>
      <c r="E57" s="54" t="s">
        <v>657</v>
      </c>
      <c r="F57" s="54"/>
      <c r="G57" s="54"/>
      <c r="H57" s="66" t="s">
        <v>1619</v>
      </c>
      <c r="I57" s="92"/>
      <c r="J57" s="92"/>
      <c r="K57" s="92"/>
      <c r="L57" s="92"/>
      <c r="M57" s="92"/>
      <c r="N57" s="92"/>
      <c r="O57" s="92"/>
      <c r="P57" s="92"/>
      <c r="Q57" s="92"/>
      <c r="R57" s="92"/>
    </row>
    <row r="58" spans="1:19" ht="12.75">
      <c r="A58" s="147" t="s">
        <v>2009</v>
      </c>
      <c r="B58" s="57">
        <v>253</v>
      </c>
      <c r="C58" s="55">
        <f>B58/28.349523</f>
        <v>8.924312412593325</v>
      </c>
      <c r="D58" s="55">
        <f>C58/16</f>
        <v>0.5577695257870828</v>
      </c>
      <c r="E58" s="118" t="s">
        <v>34</v>
      </c>
      <c r="F58" s="54"/>
      <c r="G58" s="54"/>
      <c r="H58" s="149" t="s">
        <v>35</v>
      </c>
      <c r="I58" s="92"/>
      <c r="J58" s="92"/>
      <c r="K58" s="92"/>
      <c r="L58" s="92"/>
      <c r="M58" s="92"/>
      <c r="N58" s="92"/>
      <c r="O58" s="92"/>
      <c r="P58" s="92"/>
      <c r="Q58" s="92"/>
      <c r="R58" s="92"/>
      <c r="S58" s="92"/>
    </row>
    <row r="59" spans="1:18" ht="12.75">
      <c r="A59" s="54" t="s">
        <v>1775</v>
      </c>
      <c r="B59" s="54">
        <v>34</v>
      </c>
      <c r="C59" s="55">
        <f>B59/28.349523</f>
        <v>1.1993147115738068</v>
      </c>
      <c r="D59" s="54"/>
      <c r="E59" s="54" t="s">
        <v>2083</v>
      </c>
      <c r="F59" s="54"/>
      <c r="G59" s="54"/>
      <c r="H59" s="92" t="s">
        <v>2084</v>
      </c>
      <c r="I59" s="92"/>
      <c r="J59" s="92"/>
      <c r="K59" s="92"/>
      <c r="L59" s="92"/>
      <c r="M59" s="92"/>
      <c r="N59" s="92"/>
      <c r="O59" s="92"/>
      <c r="P59" s="92"/>
      <c r="Q59" s="92"/>
      <c r="R59" s="92"/>
    </row>
    <row r="60" spans="1:18" ht="12.75">
      <c r="A60" s="54" t="s">
        <v>2009</v>
      </c>
      <c r="B60" s="54">
        <v>44</v>
      </c>
      <c r="C60" s="55">
        <f>B60/28.349523</f>
        <v>1.5520543326249263</v>
      </c>
      <c r="D60" s="54"/>
      <c r="E60" s="54" t="s">
        <v>1767</v>
      </c>
      <c r="F60" s="54"/>
      <c r="G60" s="54"/>
      <c r="H60" s="92" t="s">
        <v>1768</v>
      </c>
      <c r="I60" s="92"/>
      <c r="J60" s="92"/>
      <c r="K60" s="92"/>
      <c r="L60" s="92"/>
      <c r="M60" s="92"/>
      <c r="N60" s="92"/>
      <c r="O60" s="92"/>
      <c r="P60" s="92"/>
      <c r="Q60" s="92"/>
      <c r="R60" s="92"/>
    </row>
    <row r="61" spans="1:18" ht="12.75">
      <c r="A61" s="54" t="s">
        <v>2009</v>
      </c>
      <c r="B61" s="57">
        <v>324</v>
      </c>
      <c r="C61" s="55">
        <f aca="true" t="shared" si="5" ref="C61:C67">B61/28.349523</f>
        <v>11.428763722056276</v>
      </c>
      <c r="D61" s="55">
        <f>C61/16</f>
        <v>0.7142977326285173</v>
      </c>
      <c r="E61" s="54" t="s">
        <v>2014</v>
      </c>
      <c r="F61" s="87"/>
      <c r="G61" s="54"/>
      <c r="H61" s="92" t="s">
        <v>2015</v>
      </c>
      <c r="I61" s="92"/>
      <c r="J61" s="92"/>
      <c r="K61" s="92"/>
      <c r="L61" s="92"/>
      <c r="M61" s="92"/>
      <c r="N61" s="92"/>
      <c r="O61" s="92"/>
      <c r="P61" s="92"/>
      <c r="Q61" s="92"/>
      <c r="R61" s="92"/>
    </row>
    <row r="62" spans="1:18" ht="12.75">
      <c r="A62" s="54" t="s">
        <v>2009</v>
      </c>
      <c r="B62" s="54">
        <v>107</v>
      </c>
      <c r="C62" s="55">
        <f t="shared" si="5"/>
        <v>3.7743139452469796</v>
      </c>
      <c r="D62" s="55"/>
      <c r="E62" s="54" t="s">
        <v>658</v>
      </c>
      <c r="F62" s="54"/>
      <c r="G62" s="54"/>
      <c r="H62" s="66" t="s">
        <v>785</v>
      </c>
      <c r="I62" s="92"/>
      <c r="J62" s="92"/>
      <c r="K62" s="92"/>
      <c r="L62" s="92"/>
      <c r="M62" s="92"/>
      <c r="N62" s="92"/>
      <c r="O62" s="92"/>
      <c r="P62" s="92"/>
      <c r="Q62" s="92"/>
      <c r="R62" s="92"/>
    </row>
    <row r="63" spans="1:18" ht="12.75">
      <c r="A63" s="54" t="s">
        <v>2009</v>
      </c>
      <c r="B63" s="54">
        <v>50</v>
      </c>
      <c r="C63" s="55">
        <f t="shared" si="5"/>
        <v>1.763698105255598</v>
      </c>
      <c r="D63" s="54"/>
      <c r="E63" s="54" t="s">
        <v>137</v>
      </c>
      <c r="F63" s="54"/>
      <c r="G63" s="54"/>
      <c r="H63" s="66" t="s">
        <v>786</v>
      </c>
      <c r="I63" s="92"/>
      <c r="J63" s="92"/>
      <c r="K63" s="92"/>
      <c r="L63" s="92"/>
      <c r="M63" s="92"/>
      <c r="N63" s="92"/>
      <c r="O63" s="92"/>
      <c r="P63" s="92"/>
      <c r="Q63" s="92"/>
      <c r="R63" s="92"/>
    </row>
    <row r="64" spans="1:18" ht="12.75">
      <c r="A64" s="54" t="s">
        <v>2009</v>
      </c>
      <c r="B64" s="54">
        <v>177</v>
      </c>
      <c r="C64" s="55">
        <f t="shared" si="5"/>
        <v>6.243491292604817</v>
      </c>
      <c r="D64" s="55">
        <f>C64/16</f>
        <v>0.3902182057878011</v>
      </c>
      <c r="E64" s="54" t="s">
        <v>2010</v>
      </c>
      <c r="F64" s="54"/>
      <c r="G64" s="54"/>
      <c r="H64" s="92" t="s">
        <v>2013</v>
      </c>
      <c r="I64" s="92"/>
      <c r="J64" s="92"/>
      <c r="K64" s="92"/>
      <c r="L64" s="92"/>
      <c r="M64" s="92"/>
      <c r="N64" s="92"/>
      <c r="O64" s="92"/>
      <c r="P64" s="92"/>
      <c r="Q64" s="92"/>
      <c r="R64" s="92"/>
    </row>
    <row r="65" spans="1:18" ht="12.75">
      <c r="A65" s="54" t="s">
        <v>2009</v>
      </c>
      <c r="B65" s="54">
        <v>35</v>
      </c>
      <c r="C65" s="55">
        <f t="shared" si="5"/>
        <v>1.2345886736789187</v>
      </c>
      <c r="D65" s="55"/>
      <c r="E65" s="147" t="s">
        <v>322</v>
      </c>
      <c r="F65" s="54"/>
      <c r="G65" s="54"/>
      <c r="H65" s="150" t="s">
        <v>2018</v>
      </c>
      <c r="I65" s="92"/>
      <c r="J65" s="92"/>
      <c r="K65" s="92"/>
      <c r="L65" s="92"/>
      <c r="M65" s="92"/>
      <c r="N65" s="92"/>
      <c r="O65" s="92"/>
      <c r="P65" s="92"/>
      <c r="Q65" s="92"/>
      <c r="R65" s="92"/>
    </row>
    <row r="66" spans="1:18" ht="12.75">
      <c r="A66" s="147" t="s">
        <v>2009</v>
      </c>
      <c r="B66" s="57">
        <v>40</v>
      </c>
      <c r="C66" s="55">
        <f t="shared" si="5"/>
        <v>1.4109584842044784</v>
      </c>
      <c r="D66" s="55"/>
      <c r="E66" s="56" t="s">
        <v>1172</v>
      </c>
      <c r="F66" s="54"/>
      <c r="G66" s="54"/>
      <c r="H66" s="150" t="s">
        <v>22</v>
      </c>
      <c r="I66" s="92"/>
      <c r="J66" s="92"/>
      <c r="K66" s="92"/>
      <c r="L66" s="92"/>
      <c r="M66" s="92"/>
      <c r="N66" s="92"/>
      <c r="O66" s="92"/>
      <c r="P66" s="92"/>
      <c r="Q66" s="92"/>
      <c r="R66" s="92"/>
    </row>
    <row r="67" spans="1:18" ht="12.75">
      <c r="A67" s="147" t="s">
        <v>2009</v>
      </c>
      <c r="B67" s="147">
        <v>23</v>
      </c>
      <c r="C67" s="55">
        <f t="shared" si="5"/>
        <v>0.8113011284175751</v>
      </c>
      <c r="D67" s="160"/>
      <c r="E67" s="97" t="s">
        <v>321</v>
      </c>
      <c r="F67" s="54"/>
      <c r="G67" s="54"/>
      <c r="H67" s="92" t="s">
        <v>21</v>
      </c>
      <c r="I67" s="92"/>
      <c r="J67" s="92"/>
      <c r="K67" s="92"/>
      <c r="L67" s="92"/>
      <c r="M67" s="92"/>
      <c r="N67" s="92"/>
      <c r="O67" s="92"/>
      <c r="P67" s="92"/>
      <c r="Q67" s="92"/>
      <c r="R67" s="92"/>
    </row>
    <row r="68" spans="1:18" ht="12.75">
      <c r="A68" s="147" t="s">
        <v>2009</v>
      </c>
      <c r="B68" s="57">
        <v>60</v>
      </c>
      <c r="C68" s="55">
        <f>B68/28.349523</f>
        <v>2.116437726306718</v>
      </c>
      <c r="D68" s="55"/>
      <c r="E68" s="56" t="s">
        <v>24</v>
      </c>
      <c r="F68" s="54"/>
      <c r="G68" s="54"/>
      <c r="H68" s="92"/>
      <c r="I68" s="92"/>
      <c r="J68" s="92"/>
      <c r="K68" s="92"/>
      <c r="L68" s="92"/>
      <c r="M68" s="92"/>
      <c r="N68" s="92"/>
      <c r="O68" s="92"/>
      <c r="P68" s="92"/>
      <c r="Q68" s="92"/>
      <c r="R68" s="92"/>
    </row>
    <row r="69" spans="1:18" ht="12.75">
      <c r="A69" s="54" t="s">
        <v>2009</v>
      </c>
      <c r="B69" s="57">
        <v>1455</v>
      </c>
      <c r="C69" s="55">
        <f>B69/28.349523</f>
        <v>51.3236148629379</v>
      </c>
      <c r="D69" s="55">
        <f>C69/16</f>
        <v>3.207725928933619</v>
      </c>
      <c r="E69" s="56" t="s">
        <v>25</v>
      </c>
      <c r="F69" s="54"/>
      <c r="G69" s="54"/>
      <c r="H69" s="92"/>
      <c r="I69" s="92"/>
      <c r="J69" s="92"/>
      <c r="K69" s="92"/>
      <c r="L69" s="92"/>
      <c r="M69" s="92"/>
      <c r="N69" s="92"/>
      <c r="O69" s="92"/>
      <c r="P69" s="92"/>
      <c r="Q69" s="92"/>
      <c r="R69" s="92"/>
    </row>
    <row r="70" spans="1:18" ht="12.75">
      <c r="A70" s="54"/>
      <c r="B70" s="57">
        <v>57</v>
      </c>
      <c r="C70" s="55">
        <f>B70/28.349523</f>
        <v>2.010615839991382</v>
      </c>
      <c r="D70" s="55"/>
      <c r="E70" s="54" t="s">
        <v>1194</v>
      </c>
      <c r="F70" s="87"/>
      <c r="G70" s="54"/>
      <c r="H70" s="92" t="s">
        <v>439</v>
      </c>
      <c r="I70" s="92"/>
      <c r="J70" s="92"/>
      <c r="K70" s="92"/>
      <c r="L70" s="92"/>
      <c r="M70" s="92"/>
      <c r="N70" s="92"/>
      <c r="O70" s="92"/>
      <c r="P70" s="92"/>
      <c r="Q70" s="92"/>
      <c r="R70" s="92"/>
    </row>
    <row r="71" spans="1:18" ht="12.75">
      <c r="A71" s="147" t="s">
        <v>887</v>
      </c>
      <c r="B71" s="57">
        <f>SUM(B57:B70)</f>
        <v>2688</v>
      </c>
      <c r="C71" s="55">
        <f>B71/28.349523</f>
        <v>94.81641013854095</v>
      </c>
      <c r="D71" s="55">
        <f>C71/16</f>
        <v>5.926025633658809</v>
      </c>
      <c r="E71" s="56" t="s">
        <v>1509</v>
      </c>
      <c r="F71" s="54"/>
      <c r="G71" s="54"/>
      <c r="H71" s="92"/>
      <c r="I71" s="92"/>
      <c r="J71" s="92"/>
      <c r="K71" s="92"/>
      <c r="L71" s="92"/>
      <c r="M71" s="92"/>
      <c r="N71" s="92"/>
      <c r="O71" s="92"/>
      <c r="P71" s="92"/>
      <c r="Q71" s="92"/>
      <c r="R71" s="92"/>
    </row>
    <row r="72" spans="1:18" ht="13.5" thickBot="1">
      <c r="A72" s="147" t="s">
        <v>887</v>
      </c>
      <c r="B72" s="57">
        <f>B55+B71</f>
        <v>13550.05</v>
      </c>
      <c r="C72" s="181">
        <f>B72/28.349523</f>
        <v>477.9639502223723</v>
      </c>
      <c r="D72" s="55">
        <f>C72/16</f>
        <v>29.87274688889827</v>
      </c>
      <c r="E72" s="58" t="s">
        <v>2086</v>
      </c>
      <c r="F72" s="54"/>
      <c r="G72" s="54"/>
      <c r="H72" s="176"/>
      <c r="I72" s="176"/>
      <c r="J72" s="176"/>
      <c r="K72" s="176"/>
      <c r="L72" s="176"/>
      <c r="M72" s="176"/>
      <c r="N72" s="176"/>
      <c r="O72" s="92"/>
      <c r="P72" s="92"/>
      <c r="Q72" s="92"/>
      <c r="R72" s="92"/>
    </row>
    <row r="73" spans="1:18" ht="12.75">
      <c r="A73" s="114" t="s">
        <v>30</v>
      </c>
      <c r="B73" s="54"/>
      <c r="C73" s="55" t="s">
        <v>36</v>
      </c>
      <c r="D73" s="54"/>
      <c r="E73" s="54"/>
      <c r="F73" s="54"/>
      <c r="G73" s="54"/>
      <c r="H73" s="92"/>
      <c r="I73" s="92"/>
      <c r="J73" s="92"/>
      <c r="K73" s="92"/>
      <c r="L73" s="92"/>
      <c r="M73" s="92"/>
      <c r="N73" s="92"/>
      <c r="O73" s="92"/>
      <c r="P73" s="92"/>
      <c r="Q73" s="92"/>
      <c r="R73" s="92"/>
    </row>
    <row r="74" spans="1:18" ht="12.75">
      <c r="A74" s="114" t="s">
        <v>30</v>
      </c>
      <c r="B74" s="54"/>
      <c r="C74" s="55" t="s">
        <v>1622</v>
      </c>
      <c r="D74" s="54"/>
      <c r="E74" s="54"/>
      <c r="F74" s="54"/>
      <c r="G74" s="54"/>
      <c r="H74" s="92"/>
      <c r="I74" s="92"/>
      <c r="J74" s="92"/>
      <c r="K74" s="92"/>
      <c r="L74" s="92"/>
      <c r="M74" s="92"/>
      <c r="N74" s="92"/>
      <c r="O74" s="92"/>
      <c r="P74" s="92"/>
      <c r="Q74" s="92"/>
      <c r="R74" s="92"/>
    </row>
    <row r="75" spans="1:18" ht="12.75">
      <c r="A75" s="114" t="s">
        <v>30</v>
      </c>
      <c r="B75" s="54"/>
      <c r="C75" s="55" t="s">
        <v>1623</v>
      </c>
      <c r="D75" s="54"/>
      <c r="E75" s="54"/>
      <c r="F75" s="54"/>
      <c r="G75" s="54"/>
      <c r="H75" s="92"/>
      <c r="I75" s="92"/>
      <c r="J75" s="92"/>
      <c r="K75" s="92"/>
      <c r="L75" s="92"/>
      <c r="M75" s="92"/>
      <c r="N75" s="92"/>
      <c r="O75" s="92"/>
      <c r="P75" s="92"/>
      <c r="Q75" s="92"/>
      <c r="R75" s="92"/>
    </row>
    <row r="76" spans="1:18" ht="12.75">
      <c r="A76" s="114" t="s">
        <v>30</v>
      </c>
      <c r="B76" s="57"/>
      <c r="C76" s="55" t="s">
        <v>919</v>
      </c>
      <c r="D76" s="55"/>
      <c r="E76" s="56"/>
      <c r="F76" s="54"/>
      <c r="G76" s="54"/>
      <c r="H76" s="92"/>
      <c r="I76" s="92"/>
      <c r="J76" s="92"/>
      <c r="K76" s="92"/>
      <c r="L76" s="92"/>
      <c r="M76" s="92"/>
      <c r="N76" s="92"/>
      <c r="O76" s="92"/>
      <c r="P76" s="92"/>
      <c r="Q76" s="92"/>
      <c r="R76" s="92"/>
    </row>
    <row r="77" spans="1:18" ht="12.75">
      <c r="A77" s="114" t="s">
        <v>30</v>
      </c>
      <c r="B77" s="54"/>
      <c r="C77" s="55" t="s">
        <v>1624</v>
      </c>
      <c r="D77" s="54"/>
      <c r="E77" s="54"/>
      <c r="F77" s="54"/>
      <c r="G77" s="54"/>
      <c r="H77" s="92"/>
      <c r="I77" s="92"/>
      <c r="J77" s="92"/>
      <c r="K77" s="92"/>
      <c r="L77" s="92"/>
      <c r="M77" s="92"/>
      <c r="N77" s="92"/>
      <c r="O77" s="92"/>
      <c r="P77" s="92"/>
      <c r="Q77" s="92"/>
      <c r="R77" s="92"/>
    </row>
    <row r="78" spans="1:18" ht="12.75">
      <c r="A78" s="114" t="s">
        <v>30</v>
      </c>
      <c r="B78" s="54"/>
      <c r="C78" s="55" t="s">
        <v>2021</v>
      </c>
      <c r="D78" s="54"/>
      <c r="E78" s="54"/>
      <c r="F78" s="54"/>
      <c r="G78" s="54"/>
      <c r="H78" s="92"/>
      <c r="I78" s="92"/>
      <c r="J78" s="92"/>
      <c r="K78" s="92"/>
      <c r="L78" s="92"/>
      <c r="M78" s="92"/>
      <c r="N78" s="92"/>
      <c r="O78" s="92"/>
      <c r="P78" s="92"/>
      <c r="Q78" s="92"/>
      <c r="R78" s="92"/>
    </row>
    <row r="79" spans="1:18" ht="12.75">
      <c r="A79" s="114" t="s">
        <v>30</v>
      </c>
      <c r="B79" s="54"/>
      <c r="C79" s="160" t="s">
        <v>2022</v>
      </c>
      <c r="D79" s="54"/>
      <c r="E79" s="54"/>
      <c r="F79" s="54"/>
      <c r="G79" s="54"/>
      <c r="H79" s="92"/>
      <c r="I79" s="92"/>
      <c r="J79" s="92"/>
      <c r="K79" s="92"/>
      <c r="L79" s="92"/>
      <c r="M79" s="92"/>
      <c r="N79" s="92"/>
      <c r="O79" s="92"/>
      <c r="P79" s="92"/>
      <c r="Q79" s="92"/>
      <c r="R79" s="92"/>
    </row>
    <row r="80" spans="1:18" ht="12.75">
      <c r="A80" s="114" t="s">
        <v>30</v>
      </c>
      <c r="B80" s="54"/>
      <c r="C80" s="160" t="s">
        <v>922</v>
      </c>
      <c r="D80" s="54"/>
      <c r="E80" s="54"/>
      <c r="F80" s="54"/>
      <c r="G80" s="54"/>
      <c r="H80" s="92"/>
      <c r="I80" s="92"/>
      <c r="J80" s="92"/>
      <c r="K80" s="92"/>
      <c r="L80" s="92"/>
      <c r="M80" s="92"/>
      <c r="N80" s="92"/>
      <c r="O80" s="92"/>
      <c r="P80" s="92"/>
      <c r="Q80" s="92"/>
      <c r="R80" s="92"/>
    </row>
    <row r="81" spans="1:18" ht="12.75">
      <c r="A81" s="114" t="s">
        <v>30</v>
      </c>
      <c r="B81" s="54"/>
      <c r="C81" s="160" t="s">
        <v>923</v>
      </c>
      <c r="D81" s="54"/>
      <c r="E81" s="54"/>
      <c r="F81" s="54"/>
      <c r="G81" s="54"/>
      <c r="H81" s="92"/>
      <c r="I81" s="92"/>
      <c r="J81" s="92"/>
      <c r="K81" s="92"/>
      <c r="L81" s="92"/>
      <c r="M81" s="92"/>
      <c r="N81" s="92"/>
      <c r="O81" s="92"/>
      <c r="P81" s="92"/>
      <c r="Q81" s="92"/>
      <c r="R81" s="92"/>
    </row>
    <row r="82" spans="1:18" ht="12.75">
      <c r="A82" s="114" t="s">
        <v>30</v>
      </c>
      <c r="B82" s="54"/>
      <c r="C82" s="160" t="s">
        <v>924</v>
      </c>
      <c r="D82" s="54"/>
      <c r="E82" s="54"/>
      <c r="F82" s="54"/>
      <c r="G82" s="54"/>
      <c r="H82" s="92"/>
      <c r="I82" s="92"/>
      <c r="J82" s="92"/>
      <c r="K82" s="92"/>
      <c r="L82" s="92"/>
      <c r="M82" s="92"/>
      <c r="N82" s="92"/>
      <c r="O82" s="92"/>
      <c r="P82" s="92"/>
      <c r="Q82" s="92"/>
      <c r="R82" s="92"/>
    </row>
    <row r="83" spans="1:18" ht="12.75">
      <c r="A83" s="114" t="s">
        <v>30</v>
      </c>
      <c r="B83" s="54"/>
      <c r="C83" s="160" t="s">
        <v>925</v>
      </c>
      <c r="D83" s="54"/>
      <c r="E83" s="54"/>
      <c r="F83" s="54"/>
      <c r="G83" s="54"/>
      <c r="H83" s="92"/>
      <c r="I83" s="92"/>
      <c r="J83" s="92"/>
      <c r="K83" s="92"/>
      <c r="L83" s="92"/>
      <c r="M83" s="92"/>
      <c r="N83" s="92"/>
      <c r="O83" s="92"/>
      <c r="P83" s="92"/>
      <c r="Q83" s="92"/>
      <c r="R83" s="92"/>
    </row>
    <row r="84" spans="1:18" ht="12.75">
      <c r="A84" s="114" t="s">
        <v>30</v>
      </c>
      <c r="B84" s="54"/>
      <c r="C84" s="160" t="s">
        <v>926</v>
      </c>
      <c r="D84" s="54"/>
      <c r="E84" s="54"/>
      <c r="F84" s="54"/>
      <c r="G84" s="54"/>
      <c r="H84" s="92"/>
      <c r="I84" s="92"/>
      <c r="J84" s="92"/>
      <c r="K84" s="92"/>
      <c r="L84" s="92"/>
      <c r="M84" s="92"/>
      <c r="N84" s="92"/>
      <c r="O84" s="92"/>
      <c r="P84" s="92"/>
      <c r="Q84" s="92"/>
      <c r="R84" s="92"/>
    </row>
    <row r="85" spans="1:18" ht="12.75">
      <c r="A85" s="114" t="s">
        <v>30</v>
      </c>
      <c r="B85" s="54"/>
      <c r="C85" s="160" t="s">
        <v>927</v>
      </c>
      <c r="D85" s="54"/>
      <c r="E85" s="54"/>
      <c r="F85" s="54"/>
      <c r="G85" s="54"/>
      <c r="H85" s="92"/>
      <c r="I85" s="92"/>
      <c r="J85" s="92"/>
      <c r="K85" s="92"/>
      <c r="L85" s="92"/>
      <c r="M85" s="92"/>
      <c r="N85" s="92"/>
      <c r="O85" s="92"/>
      <c r="P85" s="92"/>
      <c r="Q85" s="92"/>
      <c r="R85" s="92"/>
    </row>
    <row r="86" spans="1:18" ht="12.75">
      <c r="A86" s="114" t="s">
        <v>30</v>
      </c>
      <c r="B86" s="54"/>
      <c r="C86" s="160" t="s">
        <v>248</v>
      </c>
      <c r="D86" s="54"/>
      <c r="E86" s="54"/>
      <c r="F86" s="54"/>
      <c r="G86" s="54"/>
      <c r="H86" s="92"/>
      <c r="I86" s="92"/>
      <c r="J86" s="92"/>
      <c r="K86" s="92"/>
      <c r="L86" s="92"/>
      <c r="M86" s="92"/>
      <c r="N86" s="92"/>
      <c r="O86" s="92"/>
      <c r="P86" s="92"/>
      <c r="Q86" s="92"/>
      <c r="R86" s="92"/>
    </row>
    <row r="87" spans="1:18" ht="12.75">
      <c r="A87" s="114" t="s">
        <v>30</v>
      </c>
      <c r="B87" s="54"/>
      <c r="C87" s="160" t="s">
        <v>928</v>
      </c>
      <c r="D87" s="54"/>
      <c r="E87" s="54"/>
      <c r="F87" s="54"/>
      <c r="G87" s="54"/>
      <c r="H87" s="92"/>
      <c r="I87" s="92"/>
      <c r="J87" s="92"/>
      <c r="K87" s="92"/>
      <c r="L87" s="92"/>
      <c r="M87" s="92"/>
      <c r="N87" s="92"/>
      <c r="O87" s="92"/>
      <c r="P87" s="92"/>
      <c r="Q87" s="92"/>
      <c r="R87" s="92"/>
    </row>
    <row r="88" spans="1:18" ht="12.75">
      <c r="A88" s="114" t="s">
        <v>30</v>
      </c>
      <c r="B88" s="54"/>
      <c r="C88" s="160" t="s">
        <v>1162</v>
      </c>
      <c r="D88" s="54"/>
      <c r="E88" s="54"/>
      <c r="F88" s="54"/>
      <c r="G88" s="54"/>
      <c r="H88" s="92"/>
      <c r="I88" s="92"/>
      <c r="J88" s="92"/>
      <c r="K88" s="92"/>
      <c r="L88" s="92"/>
      <c r="M88" s="92"/>
      <c r="N88" s="92"/>
      <c r="O88" s="92"/>
      <c r="P88" s="92"/>
      <c r="Q88" s="92"/>
      <c r="R88" s="92"/>
    </row>
    <row r="89" spans="1:18" ht="12.75">
      <c r="A89" s="114" t="s">
        <v>30</v>
      </c>
      <c r="B89" s="54"/>
      <c r="C89" s="160" t="s">
        <v>929</v>
      </c>
      <c r="D89" s="54"/>
      <c r="E89" s="54"/>
      <c r="F89" s="54"/>
      <c r="G89" s="54"/>
      <c r="H89" s="92"/>
      <c r="I89" s="92"/>
      <c r="J89" s="92"/>
      <c r="K89" s="92"/>
      <c r="L89" s="92"/>
      <c r="M89" s="92"/>
      <c r="N89" s="92"/>
      <c r="O89" s="92"/>
      <c r="P89" s="92"/>
      <c r="Q89" s="92"/>
      <c r="R89" s="92"/>
    </row>
    <row r="90" spans="1:18" ht="12.75">
      <c r="A90" s="114" t="s">
        <v>30</v>
      </c>
      <c r="B90" s="57"/>
      <c r="C90" s="55" t="s">
        <v>884</v>
      </c>
      <c r="D90" s="55"/>
      <c r="E90" s="56"/>
      <c r="F90" s="54"/>
      <c r="G90" s="54"/>
      <c r="H90" s="92"/>
      <c r="I90" s="92"/>
      <c r="J90" s="92"/>
      <c r="K90" s="92"/>
      <c r="L90" s="92"/>
      <c r="M90" s="92"/>
      <c r="N90" s="92"/>
      <c r="O90" s="92"/>
      <c r="P90" s="92"/>
      <c r="Q90" s="92"/>
      <c r="R90" s="92"/>
    </row>
    <row r="91" spans="1:18" ht="12.75">
      <c r="A91" s="114" t="s">
        <v>30</v>
      </c>
      <c r="B91" s="57"/>
      <c r="C91" s="55" t="s">
        <v>930</v>
      </c>
      <c r="D91" s="55"/>
      <c r="E91" s="56"/>
      <c r="F91" s="54"/>
      <c r="G91" s="54"/>
      <c r="H91" s="92"/>
      <c r="I91" s="92"/>
      <c r="J91" s="92"/>
      <c r="K91" s="92"/>
      <c r="L91" s="92"/>
      <c r="M91" s="92"/>
      <c r="N91" s="92"/>
      <c r="O91" s="92"/>
      <c r="P91" s="92"/>
      <c r="Q91" s="92"/>
      <c r="R91" s="92"/>
    </row>
    <row r="92" spans="1:18" ht="12.75">
      <c r="A92" s="114" t="s">
        <v>30</v>
      </c>
      <c r="B92" s="57"/>
      <c r="C92" s="55" t="s">
        <v>931</v>
      </c>
      <c r="D92" s="55"/>
      <c r="E92" s="56"/>
      <c r="F92" s="54"/>
      <c r="G92" s="54"/>
      <c r="H92" s="92"/>
      <c r="I92" s="92"/>
      <c r="J92" s="92"/>
      <c r="K92" s="92"/>
      <c r="L92" s="92"/>
      <c r="M92" s="92"/>
      <c r="N92" s="92"/>
      <c r="O92" s="92"/>
      <c r="P92" s="92"/>
      <c r="Q92" s="92"/>
      <c r="R92" s="92"/>
    </row>
    <row r="93" spans="1:18" ht="12.75">
      <c r="A93" s="114" t="s">
        <v>30</v>
      </c>
      <c r="B93" s="54"/>
      <c r="C93" s="55" t="s">
        <v>885</v>
      </c>
      <c r="D93" s="54"/>
      <c r="E93" s="54"/>
      <c r="F93" s="54"/>
      <c r="G93" s="54"/>
      <c r="H93" s="92"/>
      <c r="I93" s="92"/>
      <c r="J93" s="92"/>
      <c r="K93" s="92"/>
      <c r="L93" s="92"/>
      <c r="M93" s="92"/>
      <c r="N93" s="92"/>
      <c r="O93" s="92"/>
      <c r="P93" s="92"/>
      <c r="Q93" s="92"/>
      <c r="R93" s="92"/>
    </row>
    <row r="94" spans="1:18" ht="12.75">
      <c r="A94" s="114" t="s">
        <v>32</v>
      </c>
      <c r="B94" s="54"/>
      <c r="C94" s="55" t="s">
        <v>888</v>
      </c>
      <c r="D94" s="54"/>
      <c r="E94" s="54"/>
      <c r="F94" s="54"/>
      <c r="G94" s="54"/>
      <c r="H94" s="92"/>
      <c r="I94" s="92"/>
      <c r="J94" s="92"/>
      <c r="K94" s="92"/>
      <c r="L94" s="92"/>
      <c r="M94" s="92"/>
      <c r="N94" s="92"/>
      <c r="O94" s="92"/>
      <c r="P94" s="92"/>
      <c r="Q94" s="92"/>
      <c r="R94" s="92"/>
    </row>
    <row r="95" spans="1:18" ht="12.75">
      <c r="A95" s="114" t="s">
        <v>32</v>
      </c>
      <c r="B95" s="54"/>
      <c r="C95" s="55" t="s">
        <v>889</v>
      </c>
      <c r="D95" s="54"/>
      <c r="E95" s="54"/>
      <c r="F95" s="54"/>
      <c r="G95" s="54"/>
      <c r="H95" s="92"/>
      <c r="I95" s="92"/>
      <c r="J95" s="92"/>
      <c r="K95" s="92"/>
      <c r="L95" s="92"/>
      <c r="M95" s="92"/>
      <c r="N95" s="92"/>
      <c r="O95" s="92"/>
      <c r="P95" s="92"/>
      <c r="Q95" s="92"/>
      <c r="R95" s="92"/>
    </row>
    <row r="96" spans="1:18" ht="12.75">
      <c r="A96" s="114" t="s">
        <v>32</v>
      </c>
      <c r="B96" s="54"/>
      <c r="C96" s="55" t="s">
        <v>890</v>
      </c>
      <c r="D96" s="54"/>
      <c r="E96" s="54"/>
      <c r="F96" s="54"/>
      <c r="G96" s="54"/>
      <c r="H96" s="92"/>
      <c r="I96" s="92"/>
      <c r="J96" s="92"/>
      <c r="K96" s="92"/>
      <c r="L96" s="92"/>
      <c r="M96" s="92"/>
      <c r="N96" s="92"/>
      <c r="O96" s="92"/>
      <c r="P96" s="92"/>
      <c r="Q96" s="92"/>
      <c r="R96" s="92"/>
    </row>
    <row r="97" spans="1:18" ht="12.75">
      <c r="A97" s="114" t="s">
        <v>32</v>
      </c>
      <c r="B97" s="54"/>
      <c r="C97" s="55" t="s">
        <v>31</v>
      </c>
      <c r="D97" s="54"/>
      <c r="E97" s="54"/>
      <c r="F97" s="54"/>
      <c r="G97" s="54"/>
      <c r="H97" s="92"/>
      <c r="I97" s="92"/>
      <c r="J97" s="92"/>
      <c r="K97" s="92"/>
      <c r="L97" s="92"/>
      <c r="M97" s="92"/>
      <c r="N97" s="92"/>
      <c r="O97" s="92"/>
      <c r="P97" s="92"/>
      <c r="Q97" s="92"/>
      <c r="R97" s="92"/>
    </row>
    <row r="98" spans="1:18" ht="12.75">
      <c r="A98" s="114" t="s">
        <v>1621</v>
      </c>
      <c r="B98" s="54"/>
      <c r="C98" s="160" t="s">
        <v>881</v>
      </c>
      <c r="D98" s="54"/>
      <c r="E98" s="54"/>
      <c r="F98" s="54"/>
      <c r="G98" s="54"/>
      <c r="H98" s="92"/>
      <c r="I98" s="92"/>
      <c r="J98" s="92"/>
      <c r="K98" s="92"/>
      <c r="L98" s="92"/>
      <c r="M98" s="92"/>
      <c r="N98" s="92"/>
      <c r="O98" s="92"/>
      <c r="P98" s="92"/>
      <c r="Q98" s="92"/>
      <c r="R98" s="92"/>
    </row>
    <row r="99" spans="1:18" ht="12.75">
      <c r="A99" s="114" t="s">
        <v>1621</v>
      </c>
      <c r="B99" s="54"/>
      <c r="C99" s="160" t="s">
        <v>882</v>
      </c>
      <c r="D99" s="54"/>
      <c r="E99" s="54"/>
      <c r="F99" s="54"/>
      <c r="G99" s="54"/>
      <c r="H99" s="92"/>
      <c r="I99" s="92"/>
      <c r="J99" s="92"/>
      <c r="K99" s="92"/>
      <c r="L99" s="92"/>
      <c r="M99" s="92"/>
      <c r="N99" s="92"/>
      <c r="O99" s="92"/>
      <c r="P99" s="92"/>
      <c r="Q99" s="92"/>
      <c r="R99" s="92"/>
    </row>
    <row r="100" spans="1:18" ht="12.75">
      <c r="A100" s="114" t="s">
        <v>1621</v>
      </c>
      <c r="B100" s="57"/>
      <c r="C100" s="55" t="s">
        <v>883</v>
      </c>
      <c r="D100" s="55"/>
      <c r="E100" s="56"/>
      <c r="F100" s="54"/>
      <c r="G100" s="54"/>
      <c r="H100" s="92"/>
      <c r="I100" s="92"/>
      <c r="J100" s="92"/>
      <c r="K100" s="92"/>
      <c r="L100" s="92"/>
      <c r="M100" s="92"/>
      <c r="N100" s="92"/>
      <c r="O100" s="92"/>
      <c r="P100" s="92"/>
      <c r="Q100" s="92"/>
      <c r="R100" s="92"/>
    </row>
    <row r="101" spans="1:18" ht="12.75">
      <c r="A101" s="54" t="s">
        <v>887</v>
      </c>
      <c r="B101" s="54"/>
      <c r="C101" s="54"/>
      <c r="D101" s="54"/>
      <c r="E101" s="54"/>
      <c r="F101" s="54"/>
      <c r="G101" s="54"/>
      <c r="H101" s="92"/>
      <c r="I101" s="92"/>
      <c r="J101" s="92"/>
      <c r="K101" s="92"/>
      <c r="L101" s="92"/>
      <c r="M101" s="92"/>
      <c r="N101" s="92"/>
      <c r="O101" s="92"/>
      <c r="P101" s="92"/>
      <c r="Q101" s="92"/>
      <c r="R101" s="92"/>
    </row>
    <row r="102" spans="1:18" ht="13.5" thickBot="1">
      <c r="A102" s="114" t="s">
        <v>886</v>
      </c>
      <c r="B102" s="57"/>
      <c r="C102" s="56" t="s">
        <v>33</v>
      </c>
      <c r="D102" s="55"/>
      <c r="E102" s="56"/>
      <c r="F102" s="54"/>
      <c r="G102" s="54"/>
      <c r="H102" s="176"/>
      <c r="I102" s="176"/>
      <c r="J102" s="176"/>
      <c r="K102" s="176"/>
      <c r="L102" s="176"/>
      <c r="M102" s="176"/>
      <c r="N102" s="176"/>
      <c r="O102" s="92"/>
      <c r="P102" s="92"/>
      <c r="Q102" s="92"/>
      <c r="R102" s="92"/>
    </row>
    <row r="103" spans="1:18" ht="13.5" thickBot="1">
      <c r="A103" s="67" t="s">
        <v>887</v>
      </c>
      <c r="B103" s="57"/>
      <c r="C103" s="55"/>
      <c r="D103" s="55"/>
      <c r="E103" s="54"/>
      <c r="F103" s="54"/>
      <c r="G103" s="54"/>
      <c r="O103" s="92"/>
      <c r="P103" s="92"/>
      <c r="Q103" s="92"/>
      <c r="R103" s="92"/>
    </row>
    <row r="104" spans="1:18" ht="13.5" thickBot="1">
      <c r="A104" s="159"/>
      <c r="B104" s="103"/>
      <c r="C104" s="55" t="s">
        <v>921</v>
      </c>
      <c r="D104" s="55"/>
      <c r="E104" s="56"/>
      <c r="F104" s="54"/>
      <c r="G104" s="54"/>
      <c r="O104" s="92"/>
      <c r="P104" s="92"/>
      <c r="Q104" s="92"/>
      <c r="R104" s="92"/>
    </row>
    <row r="105" spans="1:18" ht="13.5" thickBot="1">
      <c r="A105" s="159"/>
      <c r="B105" s="103"/>
      <c r="C105" s="55" t="s">
        <v>920</v>
      </c>
      <c r="D105" s="55"/>
      <c r="E105" s="54"/>
      <c r="F105" s="54"/>
      <c r="G105" s="54"/>
      <c r="O105" s="92"/>
      <c r="P105" s="92"/>
      <c r="Q105" s="92"/>
      <c r="R105" s="92"/>
    </row>
    <row r="106" spans="1:18" ht="13.5" thickBot="1">
      <c r="A106" s="159"/>
      <c r="B106" s="103"/>
      <c r="C106" s="54" t="s">
        <v>1189</v>
      </c>
      <c r="D106" s="54"/>
      <c r="E106" s="54"/>
      <c r="F106" s="54"/>
      <c r="G106" s="54"/>
      <c r="O106" s="92"/>
      <c r="P106" s="92"/>
      <c r="Q106" s="92"/>
      <c r="R106" s="92"/>
    </row>
    <row r="107" spans="1:18" ht="13.5" thickBot="1">
      <c r="A107" s="159"/>
      <c r="B107" s="66"/>
      <c r="C107" s="54" t="s">
        <v>2085</v>
      </c>
      <c r="D107" s="54"/>
      <c r="E107" s="54"/>
      <c r="F107" s="54"/>
      <c r="G107" s="54"/>
      <c r="O107" s="92"/>
      <c r="P107" s="92"/>
      <c r="Q107" s="92"/>
      <c r="R107" s="92"/>
    </row>
    <row r="108" spans="1:18" ht="12.75">
      <c r="A108" s="172"/>
      <c r="B108" s="54"/>
      <c r="C108" s="54"/>
      <c r="D108" s="54"/>
      <c r="E108" s="54"/>
      <c r="F108" s="54"/>
      <c r="G108" s="54"/>
      <c r="O108" s="92"/>
      <c r="P108" s="92"/>
      <c r="Q108" s="92"/>
      <c r="R108" s="92"/>
    </row>
    <row r="109" spans="1:18" ht="12.75">
      <c r="A109" s="54"/>
      <c r="B109" s="54"/>
      <c r="C109" s="54"/>
      <c r="D109" s="54"/>
      <c r="E109" s="54"/>
      <c r="F109" s="54"/>
      <c r="G109" s="54"/>
      <c r="O109" s="92"/>
      <c r="P109" s="92"/>
      <c r="Q109" s="92"/>
      <c r="R109" s="92"/>
    </row>
    <row r="110" spans="1:18" ht="12.75">
      <c r="A110" s="54"/>
      <c r="B110" s="54"/>
      <c r="C110" s="54"/>
      <c r="D110" s="54"/>
      <c r="E110" s="54"/>
      <c r="F110" s="54"/>
      <c r="G110" s="54"/>
      <c r="O110" s="92"/>
      <c r="P110" s="92"/>
      <c r="Q110" s="92"/>
      <c r="R110" s="92"/>
    </row>
    <row r="111" spans="1:18" ht="12.75">
      <c r="A111" s="54"/>
      <c r="B111" s="54"/>
      <c r="C111" s="54"/>
      <c r="D111" s="54"/>
      <c r="E111" s="54"/>
      <c r="F111" s="54"/>
      <c r="G111" s="54"/>
      <c r="O111" s="92"/>
      <c r="P111" s="92"/>
      <c r="Q111" s="92"/>
      <c r="R111" s="92"/>
    </row>
    <row r="112" spans="1:18" ht="12.75">
      <c r="A112" s="54"/>
      <c r="B112" s="54"/>
      <c r="C112" s="54"/>
      <c r="D112" s="54"/>
      <c r="E112" s="54"/>
      <c r="F112" s="54"/>
      <c r="G112" s="54"/>
      <c r="O112" s="92"/>
      <c r="P112" s="92"/>
      <c r="Q112" s="92"/>
      <c r="R112" s="92"/>
    </row>
    <row r="113" spans="1:18" ht="12.75">
      <c r="A113" s="54"/>
      <c r="B113" s="54"/>
      <c r="C113" s="54"/>
      <c r="D113" s="54"/>
      <c r="E113" s="54"/>
      <c r="F113" s="54"/>
      <c r="G113" s="54"/>
      <c r="O113" s="92"/>
      <c r="P113" s="92"/>
      <c r="Q113" s="92"/>
      <c r="R113" s="92"/>
    </row>
    <row r="114" spans="1:18" ht="12.75">
      <c r="A114" s="92"/>
      <c r="B114" s="92"/>
      <c r="C114" s="92"/>
      <c r="D114" s="92"/>
      <c r="E114" s="92"/>
      <c r="F114" s="92"/>
      <c r="G114" s="92"/>
      <c r="O114" s="92"/>
      <c r="P114" s="92"/>
      <c r="Q114" s="92"/>
      <c r="R114" s="92"/>
    </row>
    <row r="115" spans="1:18" ht="12.75">
      <c r="A115" s="92"/>
      <c r="B115" s="92"/>
      <c r="C115" s="92"/>
      <c r="D115" s="92"/>
      <c r="E115" s="92"/>
      <c r="F115" s="92"/>
      <c r="G115" s="92"/>
      <c r="O115" s="92"/>
      <c r="P115" s="92"/>
      <c r="Q115" s="92"/>
      <c r="R115" s="92"/>
    </row>
    <row r="116" spans="1:18" ht="12.75">
      <c r="A116" s="92"/>
      <c r="B116" s="92"/>
      <c r="C116" s="92"/>
      <c r="D116" s="92"/>
      <c r="E116" s="92"/>
      <c r="F116" s="92"/>
      <c r="G116" s="92"/>
      <c r="O116" s="92"/>
      <c r="P116" s="92"/>
      <c r="Q116" s="92"/>
      <c r="R116" s="92"/>
    </row>
    <row r="117" spans="1:18" ht="12.75">
      <c r="A117" s="92"/>
      <c r="B117" s="92"/>
      <c r="C117" s="92"/>
      <c r="D117" s="92"/>
      <c r="E117" s="92"/>
      <c r="F117" s="92"/>
      <c r="G117" s="92"/>
      <c r="O117" s="92"/>
      <c r="P117" s="92"/>
      <c r="Q117" s="92"/>
      <c r="R117" s="92"/>
    </row>
    <row r="118" spans="1:18" ht="12.75">
      <c r="A118" s="92"/>
      <c r="B118" s="92"/>
      <c r="C118" s="92"/>
      <c r="D118" s="92"/>
      <c r="E118" s="92"/>
      <c r="F118" s="92"/>
      <c r="G118" s="92"/>
      <c r="O118" s="92"/>
      <c r="P118" s="92"/>
      <c r="Q118" s="92"/>
      <c r="R118" s="92"/>
    </row>
    <row r="119" spans="15:18" ht="12.75">
      <c r="O119" s="92"/>
      <c r="P119" s="92"/>
      <c r="Q119" s="92"/>
      <c r="R119" s="92"/>
    </row>
    <row r="120" spans="15:18" ht="12.75">
      <c r="O120" s="92"/>
      <c r="P120" s="92"/>
      <c r="Q120" s="92"/>
      <c r="R120" s="92"/>
    </row>
    <row r="121" spans="15:18" ht="12.75">
      <c r="O121" s="92"/>
      <c r="P121" s="92"/>
      <c r="Q121" s="92"/>
      <c r="R121" s="92"/>
    </row>
    <row r="122" spans="15:18" ht="12.75">
      <c r="O122" s="92"/>
      <c r="P122" s="92"/>
      <c r="Q122" s="92"/>
      <c r="R122" s="92"/>
    </row>
    <row r="123" spans="15:18" ht="12.75">
      <c r="O123" s="92"/>
      <c r="P123" s="92"/>
      <c r="Q123" s="92"/>
      <c r="R123" s="92"/>
    </row>
    <row r="124" spans="15:18" ht="12.75">
      <c r="O124" s="92"/>
      <c r="P124" s="92"/>
      <c r="Q124" s="92"/>
      <c r="R124" s="92"/>
    </row>
    <row r="125" spans="15:18" ht="12.75">
      <c r="O125" s="92"/>
      <c r="P125" s="92"/>
      <c r="Q125" s="92"/>
      <c r="R125" s="92"/>
    </row>
    <row r="126" spans="15:18" ht="12.75">
      <c r="O126" s="92"/>
      <c r="P126" s="92"/>
      <c r="Q126" s="92"/>
      <c r="R126" s="92"/>
    </row>
    <row r="127" spans="15:18" ht="12.75">
      <c r="O127" s="92"/>
      <c r="P127" s="92"/>
      <c r="Q127" s="92"/>
      <c r="R127" s="92"/>
    </row>
    <row r="128" spans="15:18" ht="12.75">
      <c r="O128" s="92"/>
      <c r="P128" s="92"/>
      <c r="Q128" s="92"/>
      <c r="R128" s="92"/>
    </row>
    <row r="129" spans="15:18" ht="12.75">
      <c r="O129" s="92"/>
      <c r="P129" s="92"/>
      <c r="Q129" s="92"/>
      <c r="R129" s="92"/>
    </row>
    <row r="130" spans="15:18" ht="12.75">
      <c r="O130" s="92"/>
      <c r="P130" s="92"/>
      <c r="Q130" s="92"/>
      <c r="R130" s="92"/>
    </row>
    <row r="131" spans="15:18" ht="12.75">
      <c r="O131" s="92"/>
      <c r="P131" s="92"/>
      <c r="Q131" s="92"/>
      <c r="R131" s="92"/>
    </row>
    <row r="132" spans="15:18" ht="12.75">
      <c r="O132" s="92"/>
      <c r="P132" s="92"/>
      <c r="Q132" s="92"/>
      <c r="R132" s="92"/>
    </row>
    <row r="133" spans="15:18" ht="12.75">
      <c r="O133" s="92"/>
      <c r="P133" s="92"/>
      <c r="Q133" s="92"/>
      <c r="R133" s="92"/>
    </row>
    <row r="134" spans="15:18" ht="12.75">
      <c r="O134" s="92"/>
      <c r="P134" s="92"/>
      <c r="Q134" s="92"/>
      <c r="R134" s="92"/>
    </row>
    <row r="135" spans="15:18" ht="12.75">
      <c r="O135" s="92"/>
      <c r="P135" s="92"/>
      <c r="Q135" s="92"/>
      <c r="R135" s="92"/>
    </row>
    <row r="136" spans="15:18" ht="12.75">
      <c r="O136" s="92"/>
      <c r="P136" s="92"/>
      <c r="Q136" s="92"/>
      <c r="R136" s="92"/>
    </row>
    <row r="137" spans="15:18" ht="12.75">
      <c r="O137" s="92"/>
      <c r="P137" s="92"/>
      <c r="Q137" s="92"/>
      <c r="R137" s="92"/>
    </row>
    <row r="138" spans="15:18" ht="12.75">
      <c r="O138" s="92"/>
      <c r="P138" s="92"/>
      <c r="Q138" s="92"/>
      <c r="R138" s="92"/>
    </row>
    <row r="139" spans="15:18" ht="12.75">
      <c r="O139" s="92"/>
      <c r="P139" s="92"/>
      <c r="Q139" s="92"/>
      <c r="R139" s="92"/>
    </row>
    <row r="140" spans="15:18" ht="12.75">
      <c r="O140" s="92"/>
      <c r="P140" s="92"/>
      <c r="Q140" s="92"/>
      <c r="R140" s="92"/>
    </row>
    <row r="141" spans="15:18" ht="12.75">
      <c r="O141" s="92"/>
      <c r="P141" s="92"/>
      <c r="Q141" s="92"/>
      <c r="R141" s="92"/>
    </row>
    <row r="142" spans="15:18" ht="12.75">
      <c r="O142" s="92"/>
      <c r="P142" s="92"/>
      <c r="Q142" s="92"/>
      <c r="R142" s="92"/>
    </row>
    <row r="143" spans="15:18" ht="12.75">
      <c r="O143" s="92"/>
      <c r="P143" s="92"/>
      <c r="Q143" s="92"/>
      <c r="R143" s="92"/>
    </row>
    <row r="144" spans="15:18" ht="12.75">
      <c r="O144" s="92"/>
      <c r="P144" s="92"/>
      <c r="Q144" s="92"/>
      <c r="R144" s="92"/>
    </row>
    <row r="145" spans="15:18" ht="12.75">
      <c r="O145" s="92"/>
      <c r="P145" s="92"/>
      <c r="Q145" s="92"/>
      <c r="R145" s="92"/>
    </row>
    <row r="146" spans="15:18" ht="12.75">
      <c r="O146" s="92"/>
      <c r="P146" s="92"/>
      <c r="Q146" s="92"/>
      <c r="R146" s="92"/>
    </row>
    <row r="147" spans="15:18" ht="12.75">
      <c r="O147" s="92"/>
      <c r="P147" s="92"/>
      <c r="Q147" s="92"/>
      <c r="R147" s="92"/>
    </row>
    <row r="148" spans="15:18" ht="12.75">
      <c r="O148" s="92"/>
      <c r="P148" s="92"/>
      <c r="Q148" s="92"/>
      <c r="R148" s="92"/>
    </row>
    <row r="149" spans="15:18" ht="12.75">
      <c r="O149" s="92"/>
      <c r="P149" s="92"/>
      <c r="Q149" s="92"/>
      <c r="R149" s="92"/>
    </row>
    <row r="150" spans="15:18" ht="12.75">
      <c r="O150" s="92"/>
      <c r="P150" s="92"/>
      <c r="Q150" s="92"/>
      <c r="R150" s="92"/>
    </row>
    <row r="151" spans="15:18" ht="12.75">
      <c r="O151" s="92"/>
      <c r="P151" s="92"/>
      <c r="Q151" s="92"/>
      <c r="R151" s="92"/>
    </row>
    <row r="152" spans="15:18" ht="12.75">
      <c r="O152" s="92"/>
      <c r="P152" s="92"/>
      <c r="Q152" s="92"/>
      <c r="R152" s="92"/>
    </row>
    <row r="153" spans="15:18" ht="12.75">
      <c r="O153" s="92"/>
      <c r="P153" s="92"/>
      <c r="Q153" s="92"/>
      <c r="R153" s="92"/>
    </row>
    <row r="154" spans="15:18" ht="12.75">
      <c r="O154" s="92"/>
      <c r="P154" s="92"/>
      <c r="Q154" s="92"/>
      <c r="R154" s="92"/>
    </row>
    <row r="155" spans="15:18" ht="12.75">
      <c r="O155" s="92"/>
      <c r="P155" s="92"/>
      <c r="Q155" s="92"/>
      <c r="R155" s="92"/>
    </row>
    <row r="156" spans="15:18" ht="12.75">
      <c r="O156" s="92"/>
      <c r="P156" s="92"/>
      <c r="Q156" s="92"/>
      <c r="R156" s="92"/>
    </row>
    <row r="157" spans="15:18" ht="12.75">
      <c r="O157" s="92"/>
      <c r="P157" s="92"/>
      <c r="Q157" s="92"/>
      <c r="R157" s="92"/>
    </row>
    <row r="158" spans="15:18" ht="12.75">
      <c r="O158" s="92"/>
      <c r="P158" s="92"/>
      <c r="Q158" s="92"/>
      <c r="R158" s="92"/>
    </row>
    <row r="159" spans="15:18" ht="12.75">
      <c r="O159" s="92"/>
      <c r="P159" s="92"/>
      <c r="Q159" s="92"/>
      <c r="R159" s="92"/>
    </row>
    <row r="160" spans="15:18" ht="12.75">
      <c r="O160" s="92"/>
      <c r="P160" s="92"/>
      <c r="Q160" s="92"/>
      <c r="R160" s="92"/>
    </row>
    <row r="161" spans="15:18" ht="12.75">
      <c r="O161" s="92"/>
      <c r="P161" s="92"/>
      <c r="Q161" s="92"/>
      <c r="R161" s="92"/>
    </row>
    <row r="162" spans="15:18" ht="12.75">
      <c r="O162" s="92"/>
      <c r="P162" s="92"/>
      <c r="Q162" s="92"/>
      <c r="R162" s="92"/>
    </row>
    <row r="163" spans="15:18" ht="12.75">
      <c r="O163" s="92"/>
      <c r="P163" s="92"/>
      <c r="Q163" s="92"/>
      <c r="R163" s="92"/>
    </row>
    <row r="164" spans="15:18" ht="12.75">
      <c r="O164" s="92"/>
      <c r="P164" s="92"/>
      <c r="Q164" s="92"/>
      <c r="R164" s="92"/>
    </row>
    <row r="165" spans="15:18" ht="12.75">
      <c r="O165" s="92"/>
      <c r="P165" s="92"/>
      <c r="Q165" s="92"/>
      <c r="R165" s="92"/>
    </row>
    <row r="166" spans="15:18" ht="12.75">
      <c r="O166" s="92"/>
      <c r="P166" s="92"/>
      <c r="Q166" s="92"/>
      <c r="R166" s="92"/>
    </row>
    <row r="167" spans="15:18" ht="12.75">
      <c r="O167" s="92"/>
      <c r="P167" s="92"/>
      <c r="Q167" s="92"/>
      <c r="R167" s="92"/>
    </row>
    <row r="168" spans="15:18" ht="12.75">
      <c r="O168" s="92"/>
      <c r="P168" s="92"/>
      <c r="Q168" s="92"/>
      <c r="R168" s="92"/>
    </row>
    <row r="169" spans="15:18" ht="12.75">
      <c r="O169" s="92"/>
      <c r="P169" s="92"/>
      <c r="Q169" s="92"/>
      <c r="R169" s="92"/>
    </row>
    <row r="170" spans="15:18" ht="12.75">
      <c r="O170" s="92"/>
      <c r="P170" s="92"/>
      <c r="Q170" s="92"/>
      <c r="R170" s="92"/>
    </row>
    <row r="171" spans="15:18" ht="12.75">
      <c r="O171" s="92"/>
      <c r="P171" s="92"/>
      <c r="Q171" s="92"/>
      <c r="R171" s="92"/>
    </row>
    <row r="172" spans="15:18" ht="12.75">
      <c r="O172" s="92"/>
      <c r="P172" s="92"/>
      <c r="Q172" s="92"/>
      <c r="R172" s="92"/>
    </row>
    <row r="173" spans="15:18" ht="12.75">
      <c r="O173" s="92"/>
      <c r="P173" s="92"/>
      <c r="Q173" s="92"/>
      <c r="R173" s="92"/>
    </row>
    <row r="174" spans="15:18" ht="12.75">
      <c r="O174" s="92"/>
      <c r="P174" s="92"/>
      <c r="Q174" s="92"/>
      <c r="R174" s="92"/>
    </row>
    <row r="175" spans="15:18" ht="12.75">
      <c r="O175" s="92"/>
      <c r="P175" s="92"/>
      <c r="Q175" s="92"/>
      <c r="R175" s="92"/>
    </row>
  </sheetData>
  <printOptions/>
  <pageMargins left="0.75" right="0.75" top="1" bottom="1" header="0.5" footer="0.5"/>
  <pageSetup horizontalDpi="600" verticalDpi="600" orientation="portrait" paperSize="17" r:id="rId1"/>
</worksheet>
</file>

<file path=xl/worksheets/sheet18.xml><?xml version="1.0" encoding="utf-8"?>
<worksheet xmlns="http://schemas.openxmlformats.org/spreadsheetml/2006/main" xmlns:r="http://schemas.openxmlformats.org/officeDocument/2006/relationships">
  <dimension ref="A1:N131"/>
  <sheetViews>
    <sheetView workbookViewId="0" topLeftCell="C70">
      <selection activeCell="E23" sqref="E23"/>
    </sheetView>
  </sheetViews>
  <sheetFormatPr defaultColWidth="9.140625" defaultRowHeight="12.75"/>
  <cols>
    <col min="1" max="1" width="6.28125" style="0" customWidth="1"/>
    <col min="2" max="2" width="6.140625" style="0" customWidth="1"/>
    <col min="3" max="3" width="5.57421875" style="0" customWidth="1"/>
    <col min="4" max="4" width="5.7109375" style="0" customWidth="1"/>
    <col min="5" max="5" width="21.28125" style="12" customWidth="1"/>
    <col min="6" max="6" width="5.28125" style="0" customWidth="1"/>
    <col min="7" max="9" width="4.28125" style="0" customWidth="1"/>
    <col min="10" max="12" width="4.7109375" style="0" customWidth="1"/>
    <col min="13" max="13" width="4.00390625" style="0" customWidth="1"/>
    <col min="14" max="14" width="5.7109375" style="0" customWidth="1"/>
    <col min="15" max="15" width="4.28125" style="0" customWidth="1"/>
  </cols>
  <sheetData>
    <row r="1" spans="2:5" ht="12.75">
      <c r="B1" s="9"/>
      <c r="C1" s="2"/>
      <c r="D1" s="2"/>
      <c r="E1" s="12" t="s">
        <v>479</v>
      </c>
    </row>
    <row r="2" spans="2:5" ht="12.75">
      <c r="B2" s="9"/>
      <c r="C2" s="2"/>
      <c r="D2" s="2"/>
      <c r="E2" s="12" t="s">
        <v>480</v>
      </c>
    </row>
    <row r="3" spans="2:5" ht="12.75">
      <c r="B3" s="9"/>
      <c r="C3" s="2"/>
      <c r="D3" s="2"/>
      <c r="E3" s="12" t="s">
        <v>1017</v>
      </c>
    </row>
    <row r="4" spans="2:5" ht="12.75">
      <c r="B4" s="9"/>
      <c r="C4" s="2"/>
      <c r="D4" s="2"/>
      <c r="E4" s="12" t="s">
        <v>481</v>
      </c>
    </row>
    <row r="5" spans="2:5" ht="12.75">
      <c r="B5" s="9"/>
      <c r="C5" s="2"/>
      <c r="D5" s="2"/>
      <c r="E5" s="12" t="s">
        <v>482</v>
      </c>
    </row>
    <row r="6" spans="2:5" ht="12.75">
      <c r="B6" s="16"/>
      <c r="C6" s="2"/>
      <c r="D6" s="2"/>
      <c r="E6" s="11" t="s">
        <v>726</v>
      </c>
    </row>
    <row r="7" spans="2:5" ht="12.75">
      <c r="B7" s="9"/>
      <c r="C7" s="2"/>
      <c r="D7" s="2"/>
      <c r="E7" t="s">
        <v>56</v>
      </c>
    </row>
    <row r="8" spans="2:5" ht="12.75">
      <c r="B8" s="9"/>
      <c r="C8" s="2"/>
      <c r="D8" s="2"/>
      <c r="E8" t="s">
        <v>2071</v>
      </c>
    </row>
    <row r="9" spans="2:5" ht="12.75">
      <c r="B9" s="9"/>
      <c r="C9" s="2"/>
      <c r="D9" s="2"/>
      <c r="E9"/>
    </row>
    <row r="10" spans="2:5" ht="12.75">
      <c r="B10" s="17"/>
      <c r="C10" s="2"/>
      <c r="D10" s="2"/>
      <c r="E10" s="13" t="s">
        <v>64</v>
      </c>
    </row>
    <row r="11" spans="2:5" ht="12.75">
      <c r="B11" s="9"/>
      <c r="C11" s="2"/>
      <c r="D11" s="2"/>
      <c r="E11" s="12" t="s">
        <v>37</v>
      </c>
    </row>
    <row r="12" spans="2:5" ht="12.75">
      <c r="B12" s="9"/>
      <c r="C12" s="2"/>
      <c r="D12" s="2"/>
      <c r="E12" s="12" t="s">
        <v>320</v>
      </c>
    </row>
    <row r="13" spans="2:5" ht="12.75">
      <c r="B13" s="9"/>
      <c r="C13" s="2"/>
      <c r="D13" s="2"/>
      <c r="E13" s="12" t="s">
        <v>1033</v>
      </c>
    </row>
    <row r="14" spans="2:5" ht="12.75">
      <c r="B14" s="9"/>
      <c r="C14" s="2"/>
      <c r="D14" s="2"/>
      <c r="E14" s="12" t="s">
        <v>1172</v>
      </c>
    </row>
    <row r="15" spans="1:6" ht="12.75">
      <c r="A15" s="7"/>
      <c r="B15" s="16"/>
      <c r="C15" s="2"/>
      <c r="D15" s="2"/>
      <c r="E15" s="4" t="s">
        <v>685</v>
      </c>
      <c r="F15" s="3"/>
    </row>
    <row r="16" spans="1:6" ht="12.75">
      <c r="A16" s="7"/>
      <c r="B16" s="16"/>
      <c r="C16" s="10"/>
      <c r="D16" s="10"/>
      <c r="E16" s="4" t="s">
        <v>1326</v>
      </c>
      <c r="F16" s="3"/>
    </row>
    <row r="17" spans="2:5" ht="12.75">
      <c r="B17" s="9"/>
      <c r="C17" s="2"/>
      <c r="D17" s="2"/>
      <c r="E17" s="12" t="s">
        <v>483</v>
      </c>
    </row>
    <row r="18" spans="2:5" ht="12.75">
      <c r="B18" s="9"/>
      <c r="C18" s="2"/>
      <c r="D18" s="2"/>
      <c r="E18" s="12" t="s">
        <v>1430</v>
      </c>
    </row>
    <row r="19" spans="2:5" ht="12.75">
      <c r="B19" s="9"/>
      <c r="C19" s="2"/>
      <c r="D19" s="2"/>
      <c r="E19" s="12" t="s">
        <v>484</v>
      </c>
    </row>
    <row r="20" spans="2:8" ht="12.75">
      <c r="B20" s="9"/>
      <c r="C20" s="2"/>
      <c r="D20" s="3"/>
      <c r="E20" s="12" t="s">
        <v>1218</v>
      </c>
      <c r="H20" s="3"/>
    </row>
    <row r="21" spans="2:5" ht="12.75">
      <c r="B21" s="9"/>
      <c r="C21" s="2"/>
      <c r="D21" s="3"/>
      <c r="E21" s="12" t="s">
        <v>1034</v>
      </c>
    </row>
    <row r="22" spans="2:5" ht="12.75">
      <c r="B22" s="9"/>
      <c r="C22" s="2"/>
      <c r="D22" s="2"/>
      <c r="E22" s="12" t="s">
        <v>1474</v>
      </c>
    </row>
    <row r="23" spans="2:5" ht="12.75">
      <c r="B23" s="9"/>
      <c r="C23" s="2"/>
      <c r="D23" s="2"/>
      <c r="E23" s="12" t="s">
        <v>1518</v>
      </c>
    </row>
    <row r="24" spans="2:5" ht="12.75">
      <c r="B24" s="9"/>
      <c r="C24" s="2"/>
      <c r="D24" s="2"/>
      <c r="E24" s="12" t="s">
        <v>1613</v>
      </c>
    </row>
    <row r="25" spans="2:5" ht="12.75">
      <c r="B25" s="9"/>
      <c r="C25" s="2"/>
      <c r="D25" s="2"/>
      <c r="E25" s="12" t="s">
        <v>485</v>
      </c>
    </row>
    <row r="26" spans="2:5" ht="12.75">
      <c r="B26" s="9"/>
      <c r="C26" s="2"/>
      <c r="D26" s="3"/>
      <c r="E26" s="4" t="s">
        <v>2</v>
      </c>
    </row>
    <row r="27" spans="2:5" ht="12.75">
      <c r="B27" s="9"/>
      <c r="C27" s="2"/>
      <c r="D27" s="2"/>
      <c r="E27" s="12" t="s">
        <v>486</v>
      </c>
    </row>
    <row r="28" spans="2:5" ht="12.75">
      <c r="B28" s="9"/>
      <c r="C28" s="2"/>
      <c r="D28" s="2"/>
      <c r="E28" s="12" t="s">
        <v>1532</v>
      </c>
    </row>
    <row r="29" spans="2:5" ht="12.75">
      <c r="B29" s="9"/>
      <c r="C29" s="2"/>
      <c r="D29" s="2"/>
      <c r="E29" s="12" t="s">
        <v>487</v>
      </c>
    </row>
    <row r="30" spans="2:5" ht="12.75">
      <c r="B30" s="9"/>
      <c r="C30" s="2"/>
      <c r="D30" s="2"/>
      <c r="E30" s="15" t="s">
        <v>1294</v>
      </c>
    </row>
    <row r="31" spans="2:5" ht="12.75">
      <c r="B31" s="9"/>
      <c r="C31" s="2"/>
      <c r="D31" s="2"/>
      <c r="E31" s="15" t="s">
        <v>1295</v>
      </c>
    </row>
    <row r="32" spans="2:5" ht="12.75">
      <c r="B32" s="9"/>
      <c r="C32" s="2"/>
      <c r="D32" s="2"/>
      <c r="E32" s="15" t="s">
        <v>1296</v>
      </c>
    </row>
    <row r="33" spans="2:5" ht="12.75">
      <c r="B33" s="9"/>
      <c r="C33" s="2"/>
      <c r="D33" s="2"/>
      <c r="E33" s="15" t="s">
        <v>1297</v>
      </c>
    </row>
    <row r="34" spans="2:5" ht="12.75">
      <c r="B34" s="9"/>
      <c r="C34" s="2"/>
      <c r="D34" s="2"/>
      <c r="E34" s="15" t="s">
        <v>1311</v>
      </c>
    </row>
    <row r="35" spans="2:5" ht="12.75">
      <c r="B35" s="9"/>
      <c r="C35" s="2"/>
      <c r="D35" s="2"/>
      <c r="E35" s="15" t="s">
        <v>1312</v>
      </c>
    </row>
    <row r="36" spans="2:5" ht="12.75">
      <c r="B36" s="9"/>
      <c r="C36" s="2"/>
      <c r="D36" s="2"/>
      <c r="E36" s="12" t="s">
        <v>1473</v>
      </c>
    </row>
    <row r="37" spans="2:5" ht="12.75">
      <c r="B37" s="9"/>
      <c r="C37" s="2"/>
      <c r="D37" s="2"/>
      <c r="E37" s="11" t="s">
        <v>1064</v>
      </c>
    </row>
    <row r="38" spans="2:5" ht="12.75">
      <c r="B38" s="9"/>
      <c r="C38" s="2"/>
      <c r="D38" s="2"/>
      <c r="E38" s="11" t="s">
        <v>1479</v>
      </c>
    </row>
    <row r="39" spans="2:5" ht="12.75">
      <c r="B39" s="9"/>
      <c r="C39" s="2"/>
      <c r="D39" s="2"/>
      <c r="E39" s="11" t="s">
        <v>944</v>
      </c>
    </row>
    <row r="40" spans="2:5" ht="12.75">
      <c r="B40" s="9"/>
      <c r="C40" s="2"/>
      <c r="D40" s="2"/>
      <c r="E40" s="11" t="s">
        <v>1506</v>
      </c>
    </row>
    <row r="41" spans="2:5" ht="12.75">
      <c r="B41" s="9"/>
      <c r="C41" s="2"/>
      <c r="D41" s="2"/>
      <c r="E41" s="11" t="s">
        <v>488</v>
      </c>
    </row>
    <row r="42" spans="2:5" ht="12.75">
      <c r="B42" s="9"/>
      <c r="C42" s="2"/>
      <c r="D42" s="2"/>
      <c r="E42" s="11" t="s">
        <v>1429</v>
      </c>
    </row>
    <row r="43" spans="2:5" ht="12.75">
      <c r="B43" s="9"/>
      <c r="C43" s="2"/>
      <c r="D43" s="2"/>
      <c r="E43" s="11" t="s">
        <v>1313</v>
      </c>
    </row>
    <row r="44" spans="2:5" ht="12.75">
      <c r="B44" s="9"/>
      <c r="C44" s="2"/>
      <c r="D44" s="2"/>
      <c r="E44" s="11" t="s">
        <v>1221</v>
      </c>
    </row>
    <row r="45" spans="2:5" ht="12.75">
      <c r="B45" s="9"/>
      <c r="C45" s="2"/>
      <c r="D45" s="2"/>
      <c r="E45" s="11" t="s">
        <v>1431</v>
      </c>
    </row>
    <row r="46" spans="2:5" ht="12.75">
      <c r="B46" s="16"/>
      <c r="C46" s="2"/>
      <c r="D46" s="2"/>
      <c r="E46" s="13" t="s">
        <v>1709</v>
      </c>
    </row>
    <row r="47" spans="2:5" ht="12.75">
      <c r="B47" s="16"/>
      <c r="C47" s="2"/>
      <c r="D47" s="2"/>
      <c r="E47" s="11" t="s">
        <v>1068</v>
      </c>
    </row>
    <row r="48" spans="2:5" ht="12.75">
      <c r="B48" s="9"/>
      <c r="C48" s="2"/>
      <c r="D48" s="2"/>
      <c r="E48" s="13" t="s">
        <v>489</v>
      </c>
    </row>
    <row r="49" spans="2:5" ht="12.75">
      <c r="B49" s="9"/>
      <c r="C49" s="2"/>
      <c r="D49" s="2"/>
      <c r="E49" s="11" t="s">
        <v>490</v>
      </c>
    </row>
    <row r="50" spans="2:5" ht="12.75">
      <c r="B50" s="9"/>
      <c r="C50" s="2"/>
      <c r="D50" s="2"/>
      <c r="E50" t="s">
        <v>1980</v>
      </c>
    </row>
    <row r="51" spans="2:5" ht="12.75">
      <c r="B51" s="9"/>
      <c r="C51" s="2"/>
      <c r="D51" s="2"/>
      <c r="E51" s="12" t="s">
        <v>318</v>
      </c>
    </row>
    <row r="52" spans="2:5" ht="12.75">
      <c r="B52" s="9"/>
      <c r="C52" s="2"/>
      <c r="D52" s="2"/>
      <c r="E52" s="12" t="s">
        <v>1170</v>
      </c>
    </row>
    <row r="53" spans="2:5" ht="12.75">
      <c r="B53" s="9"/>
      <c r="C53" s="2"/>
      <c r="D53" s="2"/>
      <c r="E53" s="12" t="s">
        <v>321</v>
      </c>
    </row>
    <row r="54" spans="2:5" ht="12.75">
      <c r="B54" s="9"/>
      <c r="C54" s="2"/>
      <c r="D54" s="2"/>
      <c r="E54" s="12" t="s">
        <v>319</v>
      </c>
    </row>
    <row r="55" spans="2:9" ht="12.75">
      <c r="B55" s="9"/>
      <c r="C55" s="2"/>
      <c r="D55" s="2"/>
      <c r="E55" t="s">
        <v>1329</v>
      </c>
      <c r="G55" s="9"/>
      <c r="H55" s="3"/>
      <c r="I55" s="3"/>
    </row>
    <row r="56" spans="2:5" ht="12.75">
      <c r="B56" s="9"/>
      <c r="C56" s="3"/>
      <c r="D56" s="3"/>
      <c r="E56" t="s">
        <v>374</v>
      </c>
    </row>
    <row r="57" spans="2:5" ht="12.75">
      <c r="B57" s="9"/>
      <c r="C57" s="2"/>
      <c r="D57" s="2"/>
      <c r="E57" s="12" t="s">
        <v>322</v>
      </c>
    </row>
    <row r="58" spans="2:5" ht="12.75">
      <c r="B58" s="9"/>
      <c r="C58" s="2"/>
      <c r="D58" s="2"/>
      <c r="E58" t="s">
        <v>1508</v>
      </c>
    </row>
    <row r="59" spans="2:5" ht="12.75">
      <c r="B59" s="16"/>
      <c r="C59" s="2"/>
      <c r="D59" s="2"/>
      <c r="E59" s="11" t="s">
        <v>1069</v>
      </c>
    </row>
    <row r="60" spans="2:5" ht="12.75">
      <c r="B60" s="16"/>
      <c r="C60" s="2"/>
      <c r="D60" s="2"/>
      <c r="E60" s="11" t="s">
        <v>492</v>
      </c>
    </row>
    <row r="61" spans="2:5" ht="12.75">
      <c r="B61" s="9"/>
      <c r="C61" s="2"/>
      <c r="D61" s="2"/>
      <c r="E61" s="12" t="s">
        <v>1955</v>
      </c>
    </row>
    <row r="62" spans="2:5" ht="12.75">
      <c r="B62" s="9"/>
      <c r="C62" s="2"/>
      <c r="D62" s="2"/>
      <c r="E62" s="12" t="s">
        <v>1894</v>
      </c>
    </row>
    <row r="63" spans="2:5" ht="12.75">
      <c r="B63" s="9"/>
      <c r="C63" s="2"/>
      <c r="D63" s="2"/>
      <c r="E63" s="12" t="s">
        <v>1171</v>
      </c>
    </row>
    <row r="64" spans="2:5" ht="12.75">
      <c r="B64" s="9"/>
      <c r="C64" s="2"/>
      <c r="D64" s="2"/>
      <c r="E64" s="11" t="s">
        <v>1685</v>
      </c>
    </row>
    <row r="65" spans="2:5" ht="12.75">
      <c r="B65" s="9"/>
      <c r="C65" s="2"/>
      <c r="D65" s="2"/>
      <c r="E65" s="11" t="s">
        <v>1066</v>
      </c>
    </row>
    <row r="66" spans="2:5" ht="12.75">
      <c r="B66" s="9"/>
      <c r="C66" s="2"/>
      <c r="D66" s="2"/>
      <c r="E66" s="12" t="s">
        <v>1306</v>
      </c>
    </row>
    <row r="67" spans="2:5" ht="12.75">
      <c r="B67" s="9"/>
      <c r="C67" s="2"/>
      <c r="D67" s="2"/>
      <c r="E67" s="12" t="s">
        <v>1564</v>
      </c>
    </row>
    <row r="68" spans="2:5" ht="12.75">
      <c r="B68" s="9"/>
      <c r="C68" s="2"/>
      <c r="D68" s="2"/>
      <c r="E68" s="12" t="s">
        <v>1695</v>
      </c>
    </row>
    <row r="69" spans="2:5" ht="12.75">
      <c r="B69" s="9"/>
      <c r="C69" s="2"/>
      <c r="D69" s="2"/>
      <c r="E69" s="12" t="s">
        <v>1696</v>
      </c>
    </row>
    <row r="70" spans="2:5" ht="12.75">
      <c r="B70" s="9"/>
      <c r="C70" s="2"/>
      <c r="D70" s="2"/>
      <c r="E70" s="12" t="s">
        <v>1697</v>
      </c>
    </row>
    <row r="71" spans="2:5" ht="12.75">
      <c r="B71" s="9"/>
      <c r="C71" s="2"/>
      <c r="D71" s="2"/>
      <c r="E71" s="12" t="s">
        <v>1307</v>
      </c>
    </row>
    <row r="72" spans="2:5" ht="12.75">
      <c r="B72" s="9"/>
      <c r="C72" s="2"/>
      <c r="D72" s="2"/>
      <c r="E72" s="12" t="s">
        <v>1996</v>
      </c>
    </row>
    <row r="73" spans="2:5" ht="12.75">
      <c r="B73" s="9"/>
      <c r="C73" s="2"/>
      <c r="D73" s="2"/>
      <c r="E73" s="12" t="s">
        <v>1339</v>
      </c>
    </row>
    <row r="74" spans="2:5" ht="12.75">
      <c r="B74" s="9"/>
      <c r="C74" s="2"/>
      <c r="D74" s="2"/>
      <c r="E74" s="12" t="s">
        <v>1472</v>
      </c>
    </row>
    <row r="75" spans="2:5" ht="12.75">
      <c r="B75" s="9"/>
      <c r="C75" s="2"/>
      <c r="D75" s="2"/>
      <c r="E75" s="12" t="s">
        <v>1305</v>
      </c>
    </row>
    <row r="76" spans="2:5" ht="12.75">
      <c r="B76" s="9"/>
      <c r="C76" s="2"/>
      <c r="D76" s="2"/>
      <c r="E76" s="12" t="s">
        <v>1999</v>
      </c>
    </row>
    <row r="77" spans="2:5" ht="12.75">
      <c r="B77" s="9"/>
      <c r="C77" s="2"/>
      <c r="D77" s="2"/>
      <c r="E77" s="12" t="s">
        <v>2000</v>
      </c>
    </row>
    <row r="78" spans="2:5" ht="12.75">
      <c r="B78" s="9"/>
      <c r="C78" s="2"/>
      <c r="D78" s="2"/>
      <c r="E78" s="12" t="s">
        <v>2001</v>
      </c>
    </row>
    <row r="79" spans="2:5" ht="12.75">
      <c r="B79" s="9"/>
      <c r="C79" s="2"/>
      <c r="D79" s="2"/>
      <c r="E79" s="12" t="s">
        <v>1684</v>
      </c>
    </row>
    <row r="80" spans="2:5" ht="12.75">
      <c r="B80" s="9"/>
      <c r="C80" s="2"/>
      <c r="D80" s="2"/>
      <c r="E80" s="12" t="s">
        <v>1690</v>
      </c>
    </row>
    <row r="81" spans="2:5" ht="12.75">
      <c r="B81" s="9"/>
      <c r="C81" s="2"/>
      <c r="D81" s="2"/>
      <c r="E81" s="12" t="s">
        <v>1691</v>
      </c>
    </row>
    <row r="82" spans="2:5" ht="12.75">
      <c r="B82" s="9"/>
      <c r="C82" s="2"/>
      <c r="D82" s="2"/>
      <c r="E82" s="12" t="s">
        <v>1692</v>
      </c>
    </row>
    <row r="83" spans="3:5" ht="12.75">
      <c r="C83" s="2"/>
      <c r="D83" s="2"/>
      <c r="E83" s="12" t="s">
        <v>1332</v>
      </c>
    </row>
    <row r="84" spans="2:5" ht="12.75">
      <c r="B84" s="9"/>
      <c r="C84" s="2"/>
      <c r="D84" s="2"/>
      <c r="E84" s="12" t="s">
        <v>1698</v>
      </c>
    </row>
    <row r="85" spans="2:5" ht="12.75">
      <c r="B85" s="9"/>
      <c r="C85" s="2"/>
      <c r="D85" s="2"/>
      <c r="E85" s="12" t="s">
        <v>1300</v>
      </c>
    </row>
    <row r="86" spans="2:5" ht="12.75">
      <c r="B86" s="9"/>
      <c r="C86" s="2"/>
      <c r="D86" s="2"/>
      <c r="E86" s="12" t="s">
        <v>958</v>
      </c>
    </row>
    <row r="87" spans="2:4" ht="12.75">
      <c r="B87" s="9"/>
      <c r="C87" s="2"/>
      <c r="D87" s="2"/>
    </row>
    <row r="88" spans="2:5" ht="12.75">
      <c r="B88" s="6"/>
      <c r="C88" s="2"/>
      <c r="D88" s="3"/>
      <c r="E88" s="4" t="s">
        <v>1527</v>
      </c>
    </row>
    <row r="89" ht="12.75">
      <c r="E89" s="12" t="s">
        <v>1298</v>
      </c>
    </row>
    <row r="90" ht="12.75">
      <c r="E90" s="12" t="s">
        <v>1299</v>
      </c>
    </row>
    <row r="91" ht="12.75">
      <c r="E91" s="12" t="s">
        <v>1301</v>
      </c>
    </row>
    <row r="92" ht="12.75">
      <c r="E92" s="13" t="s">
        <v>1302</v>
      </c>
    </row>
    <row r="93" spans="1:5" ht="12.75">
      <c r="A93" s="9"/>
      <c r="E93" s="12" t="s">
        <v>1303</v>
      </c>
    </row>
    <row r="94" ht="12.75">
      <c r="E94" s="12" t="s">
        <v>1304</v>
      </c>
    </row>
    <row r="95" spans="2:5" ht="12.75">
      <c r="B95" s="9"/>
      <c r="C95" s="2"/>
      <c r="D95" s="2"/>
      <c r="E95" s="12" t="s">
        <v>1327</v>
      </c>
    </row>
    <row r="96" spans="2:5" ht="12.75">
      <c r="B96" s="9"/>
      <c r="C96" s="2"/>
      <c r="D96" s="2"/>
      <c r="E96" s="12" t="s">
        <v>1328</v>
      </c>
    </row>
    <row r="97" spans="2:5" ht="12.75" customHeight="1">
      <c r="B97" s="9"/>
      <c r="C97" s="2"/>
      <c r="D97" s="2"/>
      <c r="E97" s="11" t="s">
        <v>1330</v>
      </c>
    </row>
    <row r="98" spans="2:5" ht="12.75">
      <c r="B98" s="9"/>
      <c r="C98" s="2"/>
      <c r="D98" s="2"/>
      <c r="E98" s="11" t="s">
        <v>1331</v>
      </c>
    </row>
    <row r="99" spans="2:5" ht="12.75" customHeight="1">
      <c r="B99" s="9"/>
      <c r="C99" s="2"/>
      <c r="D99" s="2"/>
      <c r="E99" s="11" t="s">
        <v>1333</v>
      </c>
    </row>
    <row r="100" spans="2:5" ht="12.75" customHeight="1">
      <c r="B100" s="9"/>
      <c r="C100" s="2"/>
      <c r="D100" s="2"/>
      <c r="E100" s="11" t="s">
        <v>1334</v>
      </c>
    </row>
    <row r="101" spans="2:14" ht="12.75">
      <c r="B101" s="9"/>
      <c r="C101" s="2"/>
      <c r="D101" s="2"/>
      <c r="E101" s="11" t="s">
        <v>491</v>
      </c>
      <c r="N101" s="9"/>
    </row>
    <row r="102" spans="2:5" ht="12.75">
      <c r="B102" s="9"/>
      <c r="C102" s="2"/>
      <c r="D102" s="2"/>
      <c r="E102" s="11" t="s">
        <v>493</v>
      </c>
    </row>
    <row r="103" spans="2:5" ht="12.75">
      <c r="B103" s="9"/>
      <c r="C103" s="2"/>
      <c r="D103" s="2"/>
      <c r="E103" s="4" t="s">
        <v>1340</v>
      </c>
    </row>
    <row r="104" spans="2:5" ht="12.75">
      <c r="B104" s="9"/>
      <c r="C104" s="2"/>
      <c r="D104" s="2"/>
      <c r="E104" s="11" t="s">
        <v>1341</v>
      </c>
    </row>
    <row r="105" spans="2:5" ht="12.75">
      <c r="B105" s="9"/>
      <c r="C105" s="2"/>
      <c r="D105" s="2"/>
      <c r="E105" s="11" t="s">
        <v>1342</v>
      </c>
    </row>
    <row r="106" spans="2:5" ht="12.75">
      <c r="B106" s="9"/>
      <c r="C106" s="2"/>
      <c r="D106" s="2"/>
      <c r="E106" s="11" t="s">
        <v>1343</v>
      </c>
    </row>
    <row r="107" spans="2:5" ht="12.75">
      <c r="B107" s="9"/>
      <c r="C107" s="2"/>
      <c r="D107" s="2"/>
      <c r="E107" s="11" t="s">
        <v>1344</v>
      </c>
    </row>
    <row r="108" spans="2:5" ht="12.75">
      <c r="B108" s="9"/>
      <c r="C108" s="2"/>
      <c r="D108" s="2"/>
      <c r="E108" s="11" t="s">
        <v>220</v>
      </c>
    </row>
    <row r="109" spans="2:5" ht="12.75">
      <c r="B109" s="9"/>
      <c r="C109" s="2"/>
      <c r="D109" s="2"/>
      <c r="E109" s="11" t="s">
        <v>193</v>
      </c>
    </row>
    <row r="110" spans="2:5" ht="12.75">
      <c r="B110" s="9"/>
      <c r="C110" s="2"/>
      <c r="D110" s="2"/>
      <c r="E110" s="11" t="s">
        <v>1255</v>
      </c>
    </row>
    <row r="111" spans="2:5" ht="12.75">
      <c r="B111" s="9"/>
      <c r="C111" s="2"/>
      <c r="D111" s="2"/>
      <c r="E111" s="11" t="s">
        <v>1256</v>
      </c>
    </row>
    <row r="112" spans="2:5" ht="12.75">
      <c r="B112" s="9"/>
      <c r="C112" s="2"/>
      <c r="D112" s="2"/>
      <c r="E112" s="11" t="s">
        <v>1257</v>
      </c>
    </row>
    <row r="113" spans="2:4" ht="12.75">
      <c r="B113" s="16"/>
      <c r="C113" s="2"/>
      <c r="D113" s="2"/>
    </row>
    <row r="114" spans="2:4" ht="12.75">
      <c r="B114" s="9"/>
      <c r="C114" s="2"/>
      <c r="D114" s="2"/>
    </row>
    <row r="115" spans="2:5" ht="12.75">
      <c r="B115" s="9"/>
      <c r="C115" s="2"/>
      <c r="D115" s="2"/>
      <c r="E115" s="11"/>
    </row>
    <row r="116" spans="2:5" ht="12.75">
      <c r="B116" s="9"/>
      <c r="C116" s="2"/>
      <c r="D116" s="2"/>
      <c r="E116" s="11"/>
    </row>
    <row r="117" spans="2:5" ht="12.75">
      <c r="B117" s="9"/>
      <c r="C117" s="2"/>
      <c r="D117" s="2"/>
      <c r="E117" s="11"/>
    </row>
    <row r="118" spans="2:5" ht="12.75">
      <c r="B118" s="16"/>
      <c r="C118" s="2"/>
      <c r="D118" s="2"/>
      <c r="E118" s="13"/>
    </row>
    <row r="119" spans="2:4" ht="12.75">
      <c r="B119" s="9"/>
      <c r="C119" s="2"/>
      <c r="D119" s="2"/>
    </row>
    <row r="120" ht="12.75">
      <c r="B120" s="9"/>
    </row>
    <row r="121" ht="12.75">
      <c r="B121" s="9"/>
    </row>
    <row r="122" ht="12.75">
      <c r="B122" s="9"/>
    </row>
    <row r="123" ht="12.75">
      <c r="B123" s="9"/>
    </row>
    <row r="124" ht="12.75">
      <c r="B124" s="9"/>
    </row>
    <row r="125" ht="12.75">
      <c r="B125" s="9"/>
    </row>
    <row r="126" ht="12.75">
      <c r="B126" s="9"/>
    </row>
    <row r="127" ht="12.75">
      <c r="B127" s="9"/>
    </row>
    <row r="128" ht="12.75">
      <c r="B128" s="9"/>
    </row>
    <row r="129" ht="12.75">
      <c r="B129" s="9"/>
    </row>
    <row r="130" ht="12.75">
      <c r="B130" s="9"/>
    </row>
    <row r="131" ht="12.75">
      <c r="B131" s="9"/>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A45"/>
  <sheetViews>
    <sheetView workbookViewId="0" topLeftCell="A1">
      <pane ySplit="1" topLeftCell="BM2" activePane="bottomLeft" state="frozen"/>
      <selection pane="topLeft" activeCell="A1" sqref="A1"/>
      <selection pane="bottomLeft" activeCell="C28" sqref="C28:C31"/>
    </sheetView>
  </sheetViews>
  <sheetFormatPr defaultColWidth="9.140625" defaultRowHeight="12.75"/>
  <cols>
    <col min="1" max="1" width="6.57421875" style="0" customWidth="1"/>
    <col min="2" max="2" width="5.57421875" style="0" customWidth="1"/>
    <col min="3" max="3" width="31.7109375" style="0" customWidth="1"/>
    <col min="4" max="4" width="4.140625" style="0" customWidth="1"/>
    <col min="5" max="5" width="3.8515625" style="0" customWidth="1"/>
    <col min="6" max="6" width="3.57421875" style="0" customWidth="1"/>
    <col min="7" max="7" width="4.421875" style="0" customWidth="1"/>
    <col min="8" max="8" width="3.421875" style="0" customWidth="1"/>
    <col min="9" max="9" width="3.7109375" style="0" customWidth="1"/>
    <col min="10" max="10" width="4.28125" style="0" customWidth="1"/>
    <col min="11" max="11" width="3.140625" style="0" customWidth="1"/>
    <col min="12" max="12" width="2.7109375" style="0" customWidth="1"/>
    <col min="13" max="13" width="4.28125" style="0" customWidth="1"/>
    <col min="14" max="15" width="3.421875" style="0" customWidth="1"/>
    <col min="16" max="16" width="4.00390625" style="0" customWidth="1"/>
    <col min="17" max="17" width="3.8515625" style="0" customWidth="1"/>
    <col min="18" max="18" width="3.421875" style="0" customWidth="1"/>
    <col min="19" max="19" width="3.7109375" style="0" customWidth="1"/>
    <col min="20" max="20" width="4.7109375" style="0" customWidth="1"/>
    <col min="21" max="21" width="4.421875" style="0" customWidth="1"/>
    <col min="22" max="22" width="4.7109375" style="0" customWidth="1"/>
    <col min="23" max="23" width="3.28125" style="0" customWidth="1"/>
    <col min="24" max="24" width="4.140625" style="0" customWidth="1"/>
    <col min="25" max="25" width="5.00390625" style="0" customWidth="1"/>
    <col min="26" max="26" width="8.28125" style="0" customWidth="1"/>
  </cols>
  <sheetData>
    <row r="1" spans="1:27" ht="93.75" customHeight="1">
      <c r="A1" s="54" t="s">
        <v>697</v>
      </c>
      <c r="B1" s="54" t="s">
        <v>1603</v>
      </c>
      <c r="C1" s="56" t="s">
        <v>2075</v>
      </c>
      <c r="D1" s="74" t="s">
        <v>848</v>
      </c>
      <c r="E1" s="75" t="s">
        <v>847</v>
      </c>
      <c r="F1" s="75" t="s">
        <v>849</v>
      </c>
      <c r="G1" s="75" t="s">
        <v>850</v>
      </c>
      <c r="H1" s="75" t="s">
        <v>851</v>
      </c>
      <c r="I1" s="75" t="s">
        <v>852</v>
      </c>
      <c r="J1" s="75" t="s">
        <v>853</v>
      </c>
      <c r="K1" s="75" t="s">
        <v>854</v>
      </c>
      <c r="L1" s="75" t="s">
        <v>855</v>
      </c>
      <c r="M1" s="75" t="s">
        <v>856</v>
      </c>
      <c r="N1" s="75" t="s">
        <v>867</v>
      </c>
      <c r="O1" s="75" t="s">
        <v>857</v>
      </c>
      <c r="P1" s="75" t="s">
        <v>858</v>
      </c>
      <c r="Q1" s="75" t="s">
        <v>562</v>
      </c>
      <c r="R1" s="75" t="s">
        <v>563</v>
      </c>
      <c r="S1" s="75" t="s">
        <v>572</v>
      </c>
      <c r="T1" s="75" t="s">
        <v>571</v>
      </c>
      <c r="U1" s="75" t="s">
        <v>575</v>
      </c>
      <c r="V1" s="75" t="s">
        <v>576</v>
      </c>
      <c r="W1" s="75" t="s">
        <v>577</v>
      </c>
      <c r="X1" s="75" t="s">
        <v>578</v>
      </c>
      <c r="Y1" s="75" t="s">
        <v>553</v>
      </c>
      <c r="Z1" s="130"/>
      <c r="AA1" s="92"/>
    </row>
    <row r="2" spans="1:27" ht="12.75">
      <c r="A2" s="57">
        <f aca="true" t="shared" si="0" ref="A2:A16">E2*S2</f>
        <v>665.7142857142857</v>
      </c>
      <c r="B2" s="54">
        <v>233</v>
      </c>
      <c r="C2" s="58" t="s">
        <v>1936</v>
      </c>
      <c r="D2" s="57">
        <v>28</v>
      </c>
      <c r="E2" s="54">
        <v>80</v>
      </c>
      <c r="F2" s="54">
        <v>1</v>
      </c>
      <c r="G2" s="54">
        <v>0.5</v>
      </c>
      <c r="H2" s="54">
        <v>25</v>
      </c>
      <c r="I2" s="54">
        <v>4</v>
      </c>
      <c r="J2" s="54">
        <v>3</v>
      </c>
      <c r="K2" s="54">
        <v>15</v>
      </c>
      <c r="L2" s="54">
        <v>0</v>
      </c>
      <c r="M2" s="55">
        <f aca="true" t="shared" si="1" ref="M2:M16">E2/D2</f>
        <v>2.857142857142857</v>
      </c>
      <c r="N2" s="77">
        <f aca="true" t="shared" si="2" ref="N2:N16">100*4*K2/E2</f>
        <v>75</v>
      </c>
      <c r="O2" s="57">
        <f aca="true" t="shared" si="3" ref="O2:O16">100*9*F2/E2</f>
        <v>11.25</v>
      </c>
      <c r="P2" s="61">
        <f aca="true" t="shared" si="4" ref="P2:P16">100*(G2*9)/E2</f>
        <v>5.625</v>
      </c>
      <c r="Q2" s="61">
        <f aca="true" t="shared" si="5" ref="Q2:Q16">100*I2*4/E2</f>
        <v>20</v>
      </c>
      <c r="R2" s="57">
        <f aca="true" t="shared" si="6" ref="R2:R16">100*L2/D2</f>
        <v>0</v>
      </c>
      <c r="S2" s="55">
        <f>B2/D2</f>
        <v>8.321428571428571</v>
      </c>
      <c r="T2" s="57">
        <f aca="true" t="shared" si="7" ref="T2:T16">S2*K2</f>
        <v>124.82142857142857</v>
      </c>
      <c r="U2" s="57">
        <f aca="true" t="shared" si="8" ref="U2:U16">S2*F2</f>
        <v>8.321428571428571</v>
      </c>
      <c r="V2" s="57">
        <f aca="true" t="shared" si="9" ref="V2:V16">S2*I2</f>
        <v>33.285714285714285</v>
      </c>
      <c r="W2" s="57">
        <f aca="true" t="shared" si="10" ref="W2:W16">L2*S2</f>
        <v>0</v>
      </c>
      <c r="X2" s="57">
        <f aca="true" t="shared" si="11" ref="X2:X16">S2*H2</f>
        <v>208.03571428571428</v>
      </c>
      <c r="Y2" s="57">
        <f aca="true" t="shared" si="12" ref="Y2:Y16">G2*S2</f>
        <v>4.160714285714286</v>
      </c>
      <c r="Z2" s="131"/>
      <c r="AA2" s="93"/>
    </row>
    <row r="3" spans="1:27" ht="12.75">
      <c r="A3" s="54">
        <f t="shared" si="0"/>
        <v>180</v>
      </c>
      <c r="B3" s="57">
        <f>D3*S3</f>
        <v>44</v>
      </c>
      <c r="C3" s="58" t="s">
        <v>253</v>
      </c>
      <c r="D3" s="57">
        <v>22</v>
      </c>
      <c r="E3" s="54">
        <v>90</v>
      </c>
      <c r="F3" s="54">
        <v>2</v>
      </c>
      <c r="G3" s="54">
        <v>0.5</v>
      </c>
      <c r="H3" s="54">
        <v>0</v>
      </c>
      <c r="I3" s="54">
        <v>18</v>
      </c>
      <c r="J3" s="54">
        <v>8</v>
      </c>
      <c r="K3" s="54">
        <v>1</v>
      </c>
      <c r="L3" s="54">
        <v>0</v>
      </c>
      <c r="M3" s="55">
        <f t="shared" si="1"/>
        <v>4.090909090909091</v>
      </c>
      <c r="N3" s="61">
        <f t="shared" si="2"/>
        <v>4.444444444444445</v>
      </c>
      <c r="O3" s="57">
        <f t="shared" si="3"/>
        <v>20</v>
      </c>
      <c r="P3" s="61">
        <f t="shared" si="4"/>
        <v>5</v>
      </c>
      <c r="Q3" s="77">
        <f t="shared" si="5"/>
        <v>80</v>
      </c>
      <c r="R3" s="57">
        <f t="shared" si="6"/>
        <v>0</v>
      </c>
      <c r="S3" s="55">
        <v>2</v>
      </c>
      <c r="T3" s="57">
        <f t="shared" si="7"/>
        <v>2</v>
      </c>
      <c r="U3" s="57">
        <f t="shared" si="8"/>
        <v>4</v>
      </c>
      <c r="V3" s="57">
        <f t="shared" si="9"/>
        <v>36</v>
      </c>
      <c r="W3" s="57">
        <f t="shared" si="10"/>
        <v>0</v>
      </c>
      <c r="X3" s="54">
        <f t="shared" si="11"/>
        <v>0</v>
      </c>
      <c r="Y3" s="55">
        <f t="shared" si="12"/>
        <v>1</v>
      </c>
      <c r="Z3" s="131"/>
      <c r="AA3" s="93"/>
    </row>
    <row r="4" spans="1:27" ht="12.75">
      <c r="A4" s="57">
        <f t="shared" si="0"/>
        <v>667.3941176470588</v>
      </c>
      <c r="B4" s="54">
        <f>99+78</f>
        <v>177</v>
      </c>
      <c r="C4" s="58" t="s">
        <v>1628</v>
      </c>
      <c r="D4" s="57">
        <v>17</v>
      </c>
      <c r="E4" s="54">
        <v>64.1</v>
      </c>
      <c r="F4" s="54">
        <v>0</v>
      </c>
      <c r="G4" s="86">
        <v>0</v>
      </c>
      <c r="H4" s="62">
        <v>0</v>
      </c>
      <c r="I4" s="62">
        <v>15.9</v>
      </c>
      <c r="J4" s="62">
        <v>16</v>
      </c>
      <c r="K4" s="62">
        <v>0</v>
      </c>
      <c r="L4" s="62">
        <v>0</v>
      </c>
      <c r="M4" s="55">
        <f t="shared" si="1"/>
        <v>3.770588235294117</v>
      </c>
      <c r="N4" s="79">
        <f t="shared" si="2"/>
        <v>0</v>
      </c>
      <c r="O4" s="57">
        <f t="shared" si="3"/>
        <v>0</v>
      </c>
      <c r="P4" s="79">
        <f t="shared" si="4"/>
        <v>0</v>
      </c>
      <c r="Q4" s="77">
        <f t="shared" si="5"/>
        <v>99.21996879875196</v>
      </c>
      <c r="R4" s="79">
        <f t="shared" si="6"/>
        <v>0</v>
      </c>
      <c r="S4" s="81">
        <f>B4/D4</f>
        <v>10.411764705882353</v>
      </c>
      <c r="T4" s="61">
        <f t="shared" si="7"/>
        <v>0</v>
      </c>
      <c r="U4" s="57">
        <f t="shared" si="8"/>
        <v>0</v>
      </c>
      <c r="V4" s="57">
        <f t="shared" si="9"/>
        <v>165.54705882352943</v>
      </c>
      <c r="W4" s="57">
        <f t="shared" si="10"/>
        <v>0</v>
      </c>
      <c r="X4" s="54">
        <f t="shared" si="11"/>
        <v>0</v>
      </c>
      <c r="Y4" s="55">
        <f t="shared" si="12"/>
        <v>0</v>
      </c>
      <c r="Z4" s="131"/>
      <c r="AA4" s="93"/>
    </row>
    <row r="5" spans="1:27" ht="12.75">
      <c r="A5" s="57">
        <f t="shared" si="0"/>
        <v>420</v>
      </c>
      <c r="B5" s="54">
        <v>50</v>
      </c>
      <c r="C5" s="58" t="s">
        <v>531</v>
      </c>
      <c r="D5" s="57">
        <v>50</v>
      </c>
      <c r="E5" s="54">
        <v>210</v>
      </c>
      <c r="F5" s="54">
        <v>7</v>
      </c>
      <c r="G5" s="86">
        <v>4</v>
      </c>
      <c r="H5" s="54">
        <v>0</v>
      </c>
      <c r="I5" s="54">
        <v>22</v>
      </c>
      <c r="J5" s="54">
        <v>13</v>
      </c>
      <c r="K5" s="54">
        <v>16</v>
      </c>
      <c r="L5" s="54">
        <v>0.5</v>
      </c>
      <c r="M5" s="55">
        <f t="shared" si="1"/>
        <v>4.2</v>
      </c>
      <c r="N5" s="77">
        <f t="shared" si="2"/>
        <v>30.476190476190474</v>
      </c>
      <c r="O5" s="57">
        <f t="shared" si="3"/>
        <v>30</v>
      </c>
      <c r="P5" s="77">
        <f t="shared" si="4"/>
        <v>17.142857142857142</v>
      </c>
      <c r="Q5" s="61">
        <f t="shared" si="5"/>
        <v>41.904761904761905</v>
      </c>
      <c r="R5" s="57">
        <f t="shared" si="6"/>
        <v>1</v>
      </c>
      <c r="S5" s="85">
        <v>2</v>
      </c>
      <c r="T5" s="61">
        <f t="shared" si="7"/>
        <v>32</v>
      </c>
      <c r="U5" s="57">
        <f t="shared" si="8"/>
        <v>14</v>
      </c>
      <c r="V5" s="57">
        <f t="shared" si="9"/>
        <v>44</v>
      </c>
      <c r="W5" s="61">
        <f t="shared" si="10"/>
        <v>1</v>
      </c>
      <c r="X5" s="54">
        <f t="shared" si="11"/>
        <v>0</v>
      </c>
      <c r="Y5" s="55">
        <f t="shared" si="12"/>
        <v>8</v>
      </c>
      <c r="Z5" s="63"/>
      <c r="AA5" s="93"/>
    </row>
    <row r="6" spans="1:27" ht="12.75">
      <c r="A6" s="57">
        <f t="shared" si="0"/>
        <v>200</v>
      </c>
      <c r="B6" s="54">
        <v>50</v>
      </c>
      <c r="C6" s="58" t="s">
        <v>863</v>
      </c>
      <c r="D6" s="57">
        <v>50</v>
      </c>
      <c r="E6" s="54">
        <v>200</v>
      </c>
      <c r="F6" s="54">
        <v>7</v>
      </c>
      <c r="G6" s="86">
        <v>3</v>
      </c>
      <c r="H6" s="54">
        <v>15</v>
      </c>
      <c r="I6" s="54">
        <v>21</v>
      </c>
      <c r="J6" s="54">
        <v>18</v>
      </c>
      <c r="K6" s="54">
        <v>15</v>
      </c>
      <c r="L6" s="54">
        <v>2</v>
      </c>
      <c r="M6" s="55">
        <f t="shared" si="1"/>
        <v>4</v>
      </c>
      <c r="N6" s="77">
        <f t="shared" si="2"/>
        <v>30</v>
      </c>
      <c r="O6" s="57">
        <f t="shared" si="3"/>
        <v>31.5</v>
      </c>
      <c r="P6" s="61">
        <f t="shared" si="4"/>
        <v>13.5</v>
      </c>
      <c r="Q6" s="61">
        <f t="shared" si="5"/>
        <v>42</v>
      </c>
      <c r="R6" s="61">
        <f t="shared" si="6"/>
        <v>4</v>
      </c>
      <c r="S6" s="85">
        <f>B6/D6</f>
        <v>1</v>
      </c>
      <c r="T6" s="61">
        <f t="shared" si="7"/>
        <v>15</v>
      </c>
      <c r="U6" s="57">
        <f t="shared" si="8"/>
        <v>7</v>
      </c>
      <c r="V6" s="57">
        <f t="shared" si="9"/>
        <v>21</v>
      </c>
      <c r="W6" s="61">
        <f t="shared" si="10"/>
        <v>2</v>
      </c>
      <c r="X6" s="54">
        <f t="shared" si="11"/>
        <v>15</v>
      </c>
      <c r="Y6" s="55">
        <f t="shared" si="12"/>
        <v>3</v>
      </c>
      <c r="Z6" s="63"/>
      <c r="AA6" s="93"/>
    </row>
    <row r="7" spans="1:27" ht="12.75">
      <c r="A7" s="57">
        <f t="shared" si="0"/>
        <v>791.5625</v>
      </c>
      <c r="B7" s="57">
        <v>149</v>
      </c>
      <c r="C7" s="58" t="s">
        <v>860</v>
      </c>
      <c r="D7" s="57">
        <v>32</v>
      </c>
      <c r="E7" s="54">
        <v>170</v>
      </c>
      <c r="F7" s="54">
        <v>9</v>
      </c>
      <c r="G7" s="86">
        <v>4</v>
      </c>
      <c r="H7" s="54">
        <v>5</v>
      </c>
      <c r="I7" s="54">
        <v>20</v>
      </c>
      <c r="J7" s="54">
        <v>11</v>
      </c>
      <c r="K7" s="54">
        <v>2</v>
      </c>
      <c r="L7" s="54">
        <v>1</v>
      </c>
      <c r="M7" s="86">
        <f t="shared" si="1"/>
        <v>5.3125</v>
      </c>
      <c r="N7" s="61">
        <f t="shared" si="2"/>
        <v>4.705882352941177</v>
      </c>
      <c r="O7" s="61">
        <f t="shared" si="3"/>
        <v>47.64705882352941</v>
      </c>
      <c r="P7" s="61">
        <f t="shared" si="4"/>
        <v>21.176470588235293</v>
      </c>
      <c r="Q7" s="61">
        <f t="shared" si="5"/>
        <v>47.05882352941177</v>
      </c>
      <c r="R7" s="61">
        <f t="shared" si="6"/>
        <v>3.125</v>
      </c>
      <c r="S7" s="85">
        <f>B7/D7</f>
        <v>4.65625</v>
      </c>
      <c r="T7" s="61">
        <f t="shared" si="7"/>
        <v>9.3125</v>
      </c>
      <c r="U7" s="57">
        <f t="shared" si="8"/>
        <v>41.90625</v>
      </c>
      <c r="V7" s="57">
        <f t="shared" si="9"/>
        <v>93.125</v>
      </c>
      <c r="W7" s="61">
        <f t="shared" si="10"/>
        <v>4.65625</v>
      </c>
      <c r="X7" s="54">
        <f t="shared" si="11"/>
        <v>23.28125</v>
      </c>
      <c r="Y7" s="55">
        <f t="shared" si="12"/>
        <v>18.625</v>
      </c>
      <c r="Z7" s="131"/>
      <c r="AA7" s="93"/>
    </row>
    <row r="8" spans="1:27" ht="12.75">
      <c r="A8" s="57">
        <f t="shared" si="0"/>
        <v>600</v>
      </c>
      <c r="B8" s="57">
        <v>150</v>
      </c>
      <c r="C8" s="58" t="s">
        <v>859</v>
      </c>
      <c r="D8" s="57">
        <v>25</v>
      </c>
      <c r="E8" s="54">
        <v>100</v>
      </c>
      <c r="F8" s="54">
        <v>3</v>
      </c>
      <c r="G8" s="86">
        <v>1.5</v>
      </c>
      <c r="H8" s="54">
        <v>10</v>
      </c>
      <c r="I8" s="54">
        <v>17</v>
      </c>
      <c r="J8" s="54">
        <v>13</v>
      </c>
      <c r="K8" s="57">
        <v>0.5</v>
      </c>
      <c r="L8" s="54">
        <f>25*0.02</f>
        <v>0.5</v>
      </c>
      <c r="M8" s="86">
        <f t="shared" si="1"/>
        <v>4</v>
      </c>
      <c r="N8" s="61">
        <f t="shared" si="2"/>
        <v>2</v>
      </c>
      <c r="O8" s="61">
        <f t="shared" si="3"/>
        <v>27</v>
      </c>
      <c r="P8" s="61">
        <f t="shared" si="4"/>
        <v>13.5</v>
      </c>
      <c r="Q8" s="61">
        <f t="shared" si="5"/>
        <v>68</v>
      </c>
      <c r="R8" s="61">
        <f t="shared" si="6"/>
        <v>2</v>
      </c>
      <c r="S8" s="81">
        <f>B8/D8</f>
        <v>6</v>
      </c>
      <c r="T8" s="61">
        <f t="shared" si="7"/>
        <v>3</v>
      </c>
      <c r="U8" s="57">
        <f t="shared" si="8"/>
        <v>18</v>
      </c>
      <c r="V8" s="57">
        <f t="shared" si="9"/>
        <v>102</v>
      </c>
      <c r="W8" s="61">
        <f t="shared" si="10"/>
        <v>3</v>
      </c>
      <c r="X8" s="54">
        <f t="shared" si="11"/>
        <v>60</v>
      </c>
      <c r="Y8" s="55">
        <f t="shared" si="12"/>
        <v>9</v>
      </c>
      <c r="Z8" s="131"/>
      <c r="AA8" s="93"/>
    </row>
    <row r="9" spans="1:27" ht="12.75">
      <c r="A9" s="57">
        <f t="shared" si="0"/>
        <v>280</v>
      </c>
      <c r="B9" s="54">
        <f>D9*S9</f>
        <v>70</v>
      </c>
      <c r="C9" s="58" t="s">
        <v>382</v>
      </c>
      <c r="D9" s="57">
        <v>35</v>
      </c>
      <c r="E9" s="54">
        <v>140</v>
      </c>
      <c r="F9" s="54">
        <v>3.5</v>
      </c>
      <c r="G9" s="86">
        <v>0</v>
      </c>
      <c r="H9" s="62">
        <v>0</v>
      </c>
      <c r="I9" s="62">
        <v>26</v>
      </c>
      <c r="J9" s="62">
        <v>13</v>
      </c>
      <c r="K9" s="62">
        <v>2</v>
      </c>
      <c r="L9" s="62">
        <v>1</v>
      </c>
      <c r="M9" s="55">
        <f t="shared" si="1"/>
        <v>4</v>
      </c>
      <c r="N9" s="61">
        <f t="shared" si="2"/>
        <v>5.714285714285714</v>
      </c>
      <c r="O9" s="57">
        <f t="shared" si="3"/>
        <v>22.5</v>
      </c>
      <c r="P9" s="61">
        <f t="shared" si="4"/>
        <v>0</v>
      </c>
      <c r="Q9" s="61">
        <f t="shared" si="5"/>
        <v>74.28571428571429</v>
      </c>
      <c r="R9" s="57">
        <f t="shared" si="6"/>
        <v>2.857142857142857</v>
      </c>
      <c r="S9" s="81">
        <v>2</v>
      </c>
      <c r="T9" s="61">
        <f t="shared" si="7"/>
        <v>4</v>
      </c>
      <c r="U9" s="57">
        <f t="shared" si="8"/>
        <v>7</v>
      </c>
      <c r="V9" s="57">
        <f t="shared" si="9"/>
        <v>52</v>
      </c>
      <c r="W9" s="57">
        <f t="shared" si="10"/>
        <v>2</v>
      </c>
      <c r="X9" s="54">
        <f t="shared" si="11"/>
        <v>0</v>
      </c>
      <c r="Y9" s="55">
        <f t="shared" si="12"/>
        <v>0</v>
      </c>
      <c r="Z9" s="131"/>
      <c r="AA9" s="93"/>
    </row>
    <row r="10" spans="1:27" ht="12.75">
      <c r="A10" s="57">
        <f t="shared" si="0"/>
        <v>280</v>
      </c>
      <c r="B10" s="54">
        <f>D10*S10</f>
        <v>70</v>
      </c>
      <c r="C10" s="58" t="s">
        <v>2050</v>
      </c>
      <c r="D10" s="57">
        <v>35</v>
      </c>
      <c r="E10" s="54">
        <v>140</v>
      </c>
      <c r="F10" s="54">
        <v>4</v>
      </c>
      <c r="G10" s="86">
        <v>0.5</v>
      </c>
      <c r="H10" s="62">
        <v>0</v>
      </c>
      <c r="I10" s="62">
        <v>25</v>
      </c>
      <c r="J10" s="62">
        <v>13</v>
      </c>
      <c r="K10" s="62">
        <v>3</v>
      </c>
      <c r="L10" s="62">
        <v>1</v>
      </c>
      <c r="M10" s="55">
        <f t="shared" si="1"/>
        <v>4</v>
      </c>
      <c r="N10" s="61">
        <f t="shared" si="2"/>
        <v>8.571428571428571</v>
      </c>
      <c r="O10" s="57">
        <f t="shared" si="3"/>
        <v>25.714285714285715</v>
      </c>
      <c r="P10" s="61">
        <f t="shared" si="4"/>
        <v>3.2142857142857144</v>
      </c>
      <c r="Q10" s="61">
        <f t="shared" si="5"/>
        <v>71.42857142857143</v>
      </c>
      <c r="R10" s="57">
        <f t="shared" si="6"/>
        <v>2.857142857142857</v>
      </c>
      <c r="S10" s="81">
        <v>2</v>
      </c>
      <c r="T10" s="61">
        <f t="shared" si="7"/>
        <v>6</v>
      </c>
      <c r="U10" s="57">
        <f t="shared" si="8"/>
        <v>8</v>
      </c>
      <c r="V10" s="57">
        <f t="shared" si="9"/>
        <v>50</v>
      </c>
      <c r="W10" s="57">
        <f t="shared" si="10"/>
        <v>2</v>
      </c>
      <c r="X10" s="54">
        <f t="shared" si="11"/>
        <v>0</v>
      </c>
      <c r="Y10" s="55">
        <f t="shared" si="12"/>
        <v>1</v>
      </c>
      <c r="Z10" s="131"/>
      <c r="AA10" s="93"/>
    </row>
    <row r="11" spans="1:27" ht="12.75">
      <c r="A11" s="57">
        <f t="shared" si="0"/>
        <v>1080</v>
      </c>
      <c r="B11" s="57">
        <v>180</v>
      </c>
      <c r="C11" s="58" t="s">
        <v>564</v>
      </c>
      <c r="D11" s="57">
        <v>30</v>
      </c>
      <c r="E11" s="54">
        <v>180</v>
      </c>
      <c r="F11" s="54">
        <v>13</v>
      </c>
      <c r="G11" s="62">
        <v>1.5</v>
      </c>
      <c r="H11" s="54">
        <v>0</v>
      </c>
      <c r="I11" s="54">
        <v>9</v>
      </c>
      <c r="J11" s="54">
        <v>2</v>
      </c>
      <c r="K11" s="54">
        <v>6</v>
      </c>
      <c r="L11" s="54">
        <v>3</v>
      </c>
      <c r="M11" s="76">
        <f t="shared" si="1"/>
        <v>6</v>
      </c>
      <c r="N11" s="61">
        <f t="shared" si="2"/>
        <v>13.333333333333334</v>
      </c>
      <c r="O11" s="77">
        <f t="shared" si="3"/>
        <v>65</v>
      </c>
      <c r="P11" s="61">
        <f t="shared" si="4"/>
        <v>7.5</v>
      </c>
      <c r="Q11" s="61">
        <f t="shared" si="5"/>
        <v>20</v>
      </c>
      <c r="R11" s="77">
        <f t="shared" si="6"/>
        <v>10</v>
      </c>
      <c r="S11" s="85">
        <f aca="true" t="shared" si="13" ref="S11:S16">B11/D11</f>
        <v>6</v>
      </c>
      <c r="T11" s="57">
        <f t="shared" si="7"/>
        <v>36</v>
      </c>
      <c r="U11" s="57">
        <f t="shared" si="8"/>
        <v>78</v>
      </c>
      <c r="V11" s="57">
        <f t="shared" si="9"/>
        <v>54</v>
      </c>
      <c r="W11" s="57">
        <f t="shared" si="10"/>
        <v>18</v>
      </c>
      <c r="X11" s="57">
        <f t="shared" si="11"/>
        <v>0</v>
      </c>
      <c r="Y11" s="57">
        <f t="shared" si="12"/>
        <v>9</v>
      </c>
      <c r="Z11" s="131"/>
      <c r="AA11" s="93"/>
    </row>
    <row r="12" spans="1:27" ht="12.75">
      <c r="A12" s="57">
        <f t="shared" si="0"/>
        <v>210</v>
      </c>
      <c r="B12" s="54">
        <v>60</v>
      </c>
      <c r="C12" s="58" t="s">
        <v>861</v>
      </c>
      <c r="D12" s="57">
        <v>60</v>
      </c>
      <c r="E12" s="54">
        <v>210</v>
      </c>
      <c r="F12" s="54">
        <v>6</v>
      </c>
      <c r="G12" s="86">
        <v>4</v>
      </c>
      <c r="H12" s="54">
        <v>4</v>
      </c>
      <c r="I12" s="54">
        <v>24</v>
      </c>
      <c r="J12" s="54">
        <v>1</v>
      </c>
      <c r="K12" s="54">
        <v>21</v>
      </c>
      <c r="L12" s="54">
        <v>1</v>
      </c>
      <c r="M12" s="55">
        <f t="shared" si="1"/>
        <v>3.5</v>
      </c>
      <c r="N12" s="77">
        <f t="shared" si="2"/>
        <v>40</v>
      </c>
      <c r="O12" s="57">
        <f t="shared" si="3"/>
        <v>25.714285714285715</v>
      </c>
      <c r="P12" s="77">
        <f t="shared" si="4"/>
        <v>17.142857142857142</v>
      </c>
      <c r="Q12" s="61">
        <f t="shared" si="5"/>
        <v>45.714285714285715</v>
      </c>
      <c r="R12" s="61">
        <f t="shared" si="6"/>
        <v>1.6666666666666667</v>
      </c>
      <c r="S12" s="85">
        <f t="shared" si="13"/>
        <v>1</v>
      </c>
      <c r="T12" s="61">
        <f t="shared" si="7"/>
        <v>21</v>
      </c>
      <c r="U12" s="57">
        <f t="shared" si="8"/>
        <v>6</v>
      </c>
      <c r="V12" s="57">
        <f t="shared" si="9"/>
        <v>24</v>
      </c>
      <c r="W12" s="61">
        <f t="shared" si="10"/>
        <v>1</v>
      </c>
      <c r="X12" s="54">
        <f t="shared" si="11"/>
        <v>4</v>
      </c>
      <c r="Y12" s="55">
        <f t="shared" si="12"/>
        <v>4</v>
      </c>
      <c r="Z12" s="63"/>
      <c r="AA12" s="93"/>
    </row>
    <row r="13" spans="1:27" ht="12.75">
      <c r="A13" s="57">
        <f t="shared" si="0"/>
        <v>286.56470588235294</v>
      </c>
      <c r="B13" s="54">
        <v>76</v>
      </c>
      <c r="C13" s="58" t="s">
        <v>871</v>
      </c>
      <c r="D13" s="57">
        <v>17</v>
      </c>
      <c r="E13" s="54">
        <v>64.1</v>
      </c>
      <c r="F13" s="54">
        <v>0</v>
      </c>
      <c r="G13" s="86">
        <v>0</v>
      </c>
      <c r="H13" s="62">
        <v>0</v>
      </c>
      <c r="I13" s="62">
        <v>15.9</v>
      </c>
      <c r="J13" s="62">
        <v>16</v>
      </c>
      <c r="K13" s="62">
        <v>0</v>
      </c>
      <c r="L13" s="62">
        <v>0</v>
      </c>
      <c r="M13" s="55">
        <f t="shared" si="1"/>
        <v>3.770588235294117</v>
      </c>
      <c r="N13" s="79">
        <f t="shared" si="2"/>
        <v>0</v>
      </c>
      <c r="O13" s="57">
        <f t="shared" si="3"/>
        <v>0</v>
      </c>
      <c r="P13" s="79">
        <f t="shared" si="4"/>
        <v>0</v>
      </c>
      <c r="Q13" s="77">
        <f t="shared" si="5"/>
        <v>99.21996879875196</v>
      </c>
      <c r="R13" s="79">
        <f t="shared" si="6"/>
        <v>0</v>
      </c>
      <c r="S13" s="85">
        <f t="shared" si="13"/>
        <v>4.470588235294118</v>
      </c>
      <c r="T13" s="61">
        <f t="shared" si="7"/>
        <v>0</v>
      </c>
      <c r="U13" s="57">
        <f t="shared" si="8"/>
        <v>0</v>
      </c>
      <c r="V13" s="57">
        <f t="shared" si="9"/>
        <v>71.08235294117647</v>
      </c>
      <c r="W13" s="57">
        <f t="shared" si="10"/>
        <v>0</v>
      </c>
      <c r="X13" s="54">
        <f t="shared" si="11"/>
        <v>0</v>
      </c>
      <c r="Y13" s="55">
        <f t="shared" si="12"/>
        <v>0</v>
      </c>
      <c r="Z13" s="131"/>
      <c r="AA13" s="93"/>
    </row>
    <row r="14" spans="1:27" ht="12.75">
      <c r="A14" s="57">
        <f t="shared" si="0"/>
        <v>217</v>
      </c>
      <c r="B14" s="57">
        <v>62</v>
      </c>
      <c r="C14" s="58" t="s">
        <v>870</v>
      </c>
      <c r="D14" s="57">
        <v>40</v>
      </c>
      <c r="E14" s="54">
        <v>140</v>
      </c>
      <c r="F14" s="54">
        <v>0</v>
      </c>
      <c r="G14" s="86">
        <v>0</v>
      </c>
      <c r="H14" s="62">
        <v>0</v>
      </c>
      <c r="I14" s="62">
        <v>37</v>
      </c>
      <c r="J14" s="62">
        <v>33</v>
      </c>
      <c r="K14" s="62">
        <v>0</v>
      </c>
      <c r="L14" s="62">
        <v>0</v>
      </c>
      <c r="M14" s="55">
        <f t="shared" si="1"/>
        <v>3.5</v>
      </c>
      <c r="N14" s="79">
        <f t="shared" si="2"/>
        <v>0</v>
      </c>
      <c r="O14" s="57">
        <f t="shared" si="3"/>
        <v>0</v>
      </c>
      <c r="P14" s="79">
        <f t="shared" si="4"/>
        <v>0</v>
      </c>
      <c r="Q14" s="77">
        <f t="shared" si="5"/>
        <v>105.71428571428571</v>
      </c>
      <c r="R14" s="79">
        <f t="shared" si="6"/>
        <v>0</v>
      </c>
      <c r="S14" s="85">
        <f t="shared" si="13"/>
        <v>1.55</v>
      </c>
      <c r="T14" s="61">
        <f t="shared" si="7"/>
        <v>0</v>
      </c>
      <c r="U14" s="57">
        <f t="shared" si="8"/>
        <v>0</v>
      </c>
      <c r="V14" s="57">
        <f t="shared" si="9"/>
        <v>57.35</v>
      </c>
      <c r="W14" s="57">
        <f t="shared" si="10"/>
        <v>0</v>
      </c>
      <c r="X14" s="54">
        <f t="shared" si="11"/>
        <v>0</v>
      </c>
      <c r="Y14" s="55">
        <f t="shared" si="12"/>
        <v>0</v>
      </c>
      <c r="Z14" s="131"/>
      <c r="AA14" s="93"/>
    </row>
    <row r="15" spans="1:27" ht="12.75">
      <c r="A15" s="57">
        <f t="shared" si="0"/>
        <v>290.5</v>
      </c>
      <c r="B15" s="56">
        <v>83</v>
      </c>
      <c r="C15" s="58" t="s">
        <v>1843</v>
      </c>
      <c r="D15" s="57">
        <v>40</v>
      </c>
      <c r="E15" s="54">
        <v>140</v>
      </c>
      <c r="F15" s="54">
        <v>0</v>
      </c>
      <c r="G15" s="86">
        <v>0</v>
      </c>
      <c r="H15" s="62">
        <v>0</v>
      </c>
      <c r="I15" s="62">
        <v>35</v>
      </c>
      <c r="J15" s="62">
        <v>30</v>
      </c>
      <c r="K15" s="62">
        <v>0</v>
      </c>
      <c r="L15" s="62">
        <v>2</v>
      </c>
      <c r="M15" s="81">
        <f t="shared" si="1"/>
        <v>3.5</v>
      </c>
      <c r="N15" s="79">
        <f t="shared" si="2"/>
        <v>0</v>
      </c>
      <c r="O15" s="79">
        <f t="shared" si="3"/>
        <v>0</v>
      </c>
      <c r="P15" s="79">
        <f t="shared" si="4"/>
        <v>0</v>
      </c>
      <c r="Q15" s="82">
        <f t="shared" si="5"/>
        <v>100</v>
      </c>
      <c r="R15" s="83">
        <f t="shared" si="6"/>
        <v>5</v>
      </c>
      <c r="S15" s="85">
        <f t="shared" si="13"/>
        <v>2.075</v>
      </c>
      <c r="T15" s="83">
        <f t="shared" si="7"/>
        <v>0</v>
      </c>
      <c r="U15" s="83">
        <f t="shared" si="8"/>
        <v>0</v>
      </c>
      <c r="V15" s="83">
        <f t="shared" si="9"/>
        <v>72.625</v>
      </c>
      <c r="W15" s="83">
        <f t="shared" si="10"/>
        <v>4.15</v>
      </c>
      <c r="X15" s="84">
        <f t="shared" si="11"/>
        <v>0</v>
      </c>
      <c r="Y15" s="81">
        <f t="shared" si="12"/>
        <v>0</v>
      </c>
      <c r="Z15" s="131"/>
      <c r="AA15" s="92"/>
    </row>
    <row r="16" spans="1:27" ht="12.75">
      <c r="A16" s="57">
        <f t="shared" si="0"/>
        <v>480</v>
      </c>
      <c r="B16" s="54">
        <v>80</v>
      </c>
      <c r="C16" s="58" t="s">
        <v>865</v>
      </c>
      <c r="D16" s="57">
        <v>30</v>
      </c>
      <c r="E16" s="54">
        <v>180</v>
      </c>
      <c r="F16" s="54">
        <v>15</v>
      </c>
      <c r="G16" s="86">
        <v>1</v>
      </c>
      <c r="H16" s="54">
        <v>0</v>
      </c>
      <c r="I16" s="54">
        <v>5</v>
      </c>
      <c r="J16" s="54">
        <v>1</v>
      </c>
      <c r="K16" s="54">
        <v>7</v>
      </c>
      <c r="L16" s="54">
        <v>3</v>
      </c>
      <c r="M16" s="55">
        <f t="shared" si="1"/>
        <v>6</v>
      </c>
      <c r="N16" s="61">
        <f t="shared" si="2"/>
        <v>15.555555555555555</v>
      </c>
      <c r="O16" s="77">
        <f t="shared" si="3"/>
        <v>75</v>
      </c>
      <c r="P16" s="79">
        <f t="shared" si="4"/>
        <v>5</v>
      </c>
      <c r="Q16" s="61">
        <f t="shared" si="5"/>
        <v>11.11111111111111</v>
      </c>
      <c r="R16" s="77">
        <f t="shared" si="6"/>
        <v>10</v>
      </c>
      <c r="S16" s="85">
        <f t="shared" si="13"/>
        <v>2.6666666666666665</v>
      </c>
      <c r="T16" s="57">
        <f t="shared" si="7"/>
        <v>18.666666666666664</v>
      </c>
      <c r="U16" s="57">
        <f t="shared" si="8"/>
        <v>40</v>
      </c>
      <c r="V16" s="57">
        <f t="shared" si="9"/>
        <v>13.333333333333332</v>
      </c>
      <c r="W16" s="57">
        <f t="shared" si="10"/>
        <v>8</v>
      </c>
      <c r="X16" s="54">
        <f t="shared" si="11"/>
        <v>0</v>
      </c>
      <c r="Y16" s="55">
        <f t="shared" si="12"/>
        <v>2.6666666666666665</v>
      </c>
      <c r="Z16" s="131"/>
      <c r="AA16" s="93"/>
    </row>
    <row r="17" spans="1:27" ht="12.75">
      <c r="A17" s="57">
        <f>SUM(A2:A16)</f>
        <v>6648.735609243698</v>
      </c>
      <c r="B17" s="57">
        <f>SUM(B2:B16)</f>
        <v>1534</v>
      </c>
      <c r="C17" s="58" t="s">
        <v>1507</v>
      </c>
      <c r="D17" s="54"/>
      <c r="E17" s="54"/>
      <c r="F17" s="54"/>
      <c r="G17" s="54"/>
      <c r="H17" s="87"/>
      <c r="I17" s="87"/>
      <c r="J17" s="87"/>
      <c r="K17" s="57"/>
      <c r="L17" s="54"/>
      <c r="M17" s="87"/>
      <c r="N17" s="54"/>
      <c r="O17" s="54"/>
      <c r="P17" s="54"/>
      <c r="Q17" s="54"/>
      <c r="R17" s="54"/>
      <c r="S17" s="54"/>
      <c r="T17" s="57">
        <f aca="true" t="shared" si="14" ref="T17:Y17">SUM(T2:T16)</f>
        <v>271.80059523809524</v>
      </c>
      <c r="U17" s="57">
        <f t="shared" si="14"/>
        <v>232.22767857142856</v>
      </c>
      <c r="V17" s="57">
        <f t="shared" si="14"/>
        <v>889.3484593837536</v>
      </c>
      <c r="W17" s="57">
        <f t="shared" si="14"/>
        <v>45.80625</v>
      </c>
      <c r="X17" s="57">
        <f t="shared" si="14"/>
        <v>310.3169642857143</v>
      </c>
      <c r="Y17" s="57">
        <f t="shared" si="14"/>
        <v>60.45238095238095</v>
      </c>
      <c r="Z17" s="132"/>
      <c r="AA17" s="92"/>
    </row>
    <row r="18" spans="1:27" ht="12.75">
      <c r="A18" s="54"/>
      <c r="B18" s="54"/>
      <c r="C18" s="56"/>
      <c r="D18" s="54">
        <v>1.8</v>
      </c>
      <c r="E18" s="54" t="s">
        <v>534</v>
      </c>
      <c r="F18" s="54"/>
      <c r="G18" s="84">
        <f>A17/D18</f>
        <v>3693.7420051353874</v>
      </c>
      <c r="H18" s="54" t="s">
        <v>536</v>
      </c>
      <c r="I18" s="54"/>
      <c r="J18" s="57">
        <f>T17/D18</f>
        <v>151.00033068783068</v>
      </c>
      <c r="K18" s="54" t="s">
        <v>535</v>
      </c>
      <c r="L18" s="54"/>
      <c r="M18" s="54">
        <f>W17/D18</f>
        <v>25.447916666666664</v>
      </c>
      <c r="N18" s="54" t="s">
        <v>554</v>
      </c>
      <c r="O18" s="54"/>
      <c r="P18" s="57">
        <f>Y17/D18</f>
        <v>33.58465608465608</v>
      </c>
      <c r="Q18" s="54" t="s">
        <v>555</v>
      </c>
      <c r="R18" s="54"/>
      <c r="S18" s="54"/>
      <c r="T18" s="83">
        <f>4*T17</f>
        <v>1087.202380952381</v>
      </c>
      <c r="U18" s="83">
        <f>9*U17</f>
        <v>2090.049107142857</v>
      </c>
      <c r="V18" s="83">
        <f>4*V17</f>
        <v>3557.3938375350144</v>
      </c>
      <c r="W18" s="54"/>
      <c r="X18" s="54"/>
      <c r="Y18" s="81">
        <f>9*Y17</f>
        <v>544.0714285714286</v>
      </c>
      <c r="Z18" s="132" t="s">
        <v>697</v>
      </c>
      <c r="AA18" s="92"/>
    </row>
    <row r="19" spans="1:27" ht="12.75">
      <c r="A19" s="54"/>
      <c r="B19" s="57">
        <f>B20-B17</f>
        <v>81</v>
      </c>
      <c r="C19" s="58" t="s">
        <v>868</v>
      </c>
      <c r="D19" s="54"/>
      <c r="E19" s="54"/>
      <c r="F19" s="54"/>
      <c r="G19" s="54"/>
      <c r="H19" s="54"/>
      <c r="I19" s="54"/>
      <c r="J19" s="54"/>
      <c r="K19" s="54"/>
      <c r="L19" s="54"/>
      <c r="M19" s="54"/>
      <c r="N19" s="54"/>
      <c r="O19" s="54"/>
      <c r="P19" s="54"/>
      <c r="Q19" s="54"/>
      <c r="R19" s="54"/>
      <c r="S19" s="54"/>
      <c r="T19" s="57">
        <f>T18*100/A17</f>
        <v>16.352017057812464</v>
      </c>
      <c r="U19" s="57">
        <f>100*U18/A17</f>
        <v>31.435286797042643</v>
      </c>
      <c r="V19" s="57">
        <f>V18*100/A17</f>
        <v>53.50481725561761</v>
      </c>
      <c r="W19" s="55">
        <f>100*W17/A17</f>
        <v>0.6889467816454582</v>
      </c>
      <c r="X19" s="54"/>
      <c r="Y19" s="87">
        <f>100*Y18/A17</f>
        <v>8.183081123198962</v>
      </c>
      <c r="Z19" s="132" t="s">
        <v>1786</v>
      </c>
      <c r="AA19" s="92"/>
    </row>
    <row r="20" spans="1:27" ht="12.75">
      <c r="A20" s="54"/>
      <c r="B20" s="57">
        <f>224+1391</f>
        <v>1615</v>
      </c>
      <c r="C20" s="56" t="s">
        <v>869</v>
      </c>
      <c r="D20" s="54"/>
      <c r="E20" s="54"/>
      <c r="F20" s="54"/>
      <c r="G20" s="54"/>
      <c r="H20" s="54"/>
      <c r="I20" s="89" t="s">
        <v>587</v>
      </c>
      <c r="J20" s="54"/>
      <c r="K20" s="54"/>
      <c r="L20" s="54"/>
      <c r="M20" s="54"/>
      <c r="N20" s="54"/>
      <c r="O20" s="54"/>
      <c r="P20" s="54"/>
      <c r="Q20" s="54"/>
      <c r="R20" s="54"/>
      <c r="S20" s="54"/>
      <c r="T20" s="54"/>
      <c r="U20" s="54"/>
      <c r="V20" s="54"/>
      <c r="W20" s="54"/>
      <c r="X20" s="54"/>
      <c r="Y20" s="54"/>
      <c r="Z20" s="132"/>
      <c r="AA20" s="92"/>
    </row>
    <row r="21" spans="1:27" ht="12.75">
      <c r="A21" s="57">
        <v>5555</v>
      </c>
      <c r="B21" s="57"/>
      <c r="C21" s="58" t="s">
        <v>1917</v>
      </c>
      <c r="D21" s="54"/>
      <c r="E21" s="54"/>
      <c r="F21" s="54"/>
      <c r="G21" s="54"/>
      <c r="H21" s="54"/>
      <c r="I21" s="54"/>
      <c r="J21" s="54" t="s">
        <v>586</v>
      </c>
      <c r="K21" s="54"/>
      <c r="L21" s="54"/>
      <c r="M21" s="54"/>
      <c r="N21" s="54"/>
      <c r="O21" s="54"/>
      <c r="P21" s="54"/>
      <c r="Q21" s="54"/>
      <c r="R21" s="54"/>
      <c r="S21" s="54"/>
      <c r="T21" s="54"/>
      <c r="U21" s="54"/>
      <c r="V21" s="54"/>
      <c r="W21" s="54"/>
      <c r="X21" s="54"/>
      <c r="Y21" s="54"/>
      <c r="Z21" s="132"/>
      <c r="AA21" s="92"/>
    </row>
    <row r="22" spans="1:27" ht="12.75">
      <c r="A22" s="57">
        <f>A21-A17</f>
        <v>-1093.7356092436976</v>
      </c>
      <c r="B22" s="57"/>
      <c r="C22" s="54" t="s">
        <v>1497</v>
      </c>
      <c r="D22" s="54"/>
      <c r="E22" s="54"/>
      <c r="F22" s="54"/>
      <c r="G22" s="54"/>
      <c r="H22" s="54"/>
      <c r="I22" s="54"/>
      <c r="J22" s="54" t="s">
        <v>1781</v>
      </c>
      <c r="K22" s="54"/>
      <c r="L22" s="54"/>
      <c r="M22" s="54"/>
      <c r="N22" s="54"/>
      <c r="O22" s="54"/>
      <c r="P22" s="54"/>
      <c r="Q22" s="54"/>
      <c r="R22" s="54"/>
      <c r="S22" s="54"/>
      <c r="T22" s="54"/>
      <c r="U22" s="54"/>
      <c r="V22" s="54"/>
      <c r="W22" s="54"/>
      <c r="X22" s="54"/>
      <c r="Y22" s="54"/>
      <c r="Z22" s="132"/>
      <c r="AA22" s="92"/>
    </row>
    <row r="23" spans="1:27" ht="12.75">
      <c r="A23" s="54"/>
      <c r="B23" s="54"/>
      <c r="C23" s="54"/>
      <c r="D23" s="54"/>
      <c r="E23" s="54"/>
      <c r="F23" s="54"/>
      <c r="G23" s="54"/>
      <c r="H23" s="54"/>
      <c r="I23" s="54"/>
      <c r="J23" s="54" t="s">
        <v>1796</v>
      </c>
      <c r="K23" s="54"/>
      <c r="L23" s="54"/>
      <c r="M23" s="54"/>
      <c r="N23" s="54"/>
      <c r="O23" s="54"/>
      <c r="P23" s="54"/>
      <c r="Q23" s="54"/>
      <c r="R23" s="54"/>
      <c r="S23" s="54"/>
      <c r="T23" s="54"/>
      <c r="U23" s="54"/>
      <c r="V23" s="54"/>
      <c r="W23" s="54"/>
      <c r="X23" s="54"/>
      <c r="Y23" s="54"/>
      <c r="Z23" s="132"/>
      <c r="AA23" s="92"/>
    </row>
    <row r="24" spans="1:27" ht="12.75">
      <c r="A24" s="54"/>
      <c r="B24" s="57"/>
      <c r="C24" s="58"/>
      <c r="D24" s="54"/>
      <c r="E24" s="54"/>
      <c r="F24" s="54"/>
      <c r="G24" s="54"/>
      <c r="H24" s="54"/>
      <c r="I24" s="54"/>
      <c r="J24" s="90" t="s">
        <v>1789</v>
      </c>
      <c r="K24" s="54"/>
      <c r="L24" s="54"/>
      <c r="M24" s="54"/>
      <c r="N24" s="54"/>
      <c r="O24" s="54"/>
      <c r="P24" s="54"/>
      <c r="Q24" s="54"/>
      <c r="R24" s="54"/>
      <c r="S24" s="54"/>
      <c r="T24" s="54"/>
      <c r="U24" s="54"/>
      <c r="V24" s="54"/>
      <c r="W24" s="54"/>
      <c r="X24" s="54"/>
      <c r="Y24" s="54"/>
      <c r="Z24" s="132"/>
      <c r="AA24" s="92"/>
    </row>
    <row r="25" ht="12.75">
      <c r="C25" s="12"/>
    </row>
    <row r="26" spans="3:26" ht="12.75">
      <c r="C26" s="12"/>
      <c r="D26" s="28"/>
      <c r="E26" s="1"/>
      <c r="F26" s="1"/>
      <c r="G26" s="1"/>
      <c r="H26" s="1"/>
      <c r="I26" s="1"/>
      <c r="J26" s="1"/>
      <c r="K26" s="1"/>
      <c r="L26" s="1"/>
      <c r="M26" s="1"/>
      <c r="N26" s="1"/>
      <c r="O26" s="1"/>
      <c r="P26" s="1"/>
      <c r="Q26" s="1"/>
      <c r="R26" s="1"/>
      <c r="S26" s="1"/>
      <c r="T26" s="1"/>
      <c r="U26" s="1"/>
      <c r="V26" s="1"/>
      <c r="W26" s="1"/>
      <c r="X26" s="1"/>
      <c r="Y26" s="1"/>
      <c r="Z26" s="1"/>
    </row>
    <row r="27" spans="1:27" ht="12.75">
      <c r="A27" s="9"/>
      <c r="C27" s="11"/>
      <c r="D27" s="9"/>
      <c r="E27" s="6"/>
      <c r="G27" s="6"/>
      <c r="M27" s="2"/>
      <c r="N27" s="9"/>
      <c r="O27" s="9"/>
      <c r="P27" s="29"/>
      <c r="Q27" s="16"/>
      <c r="R27" s="9"/>
      <c r="S27" s="2"/>
      <c r="T27" s="9"/>
      <c r="U27" s="9"/>
      <c r="V27" s="9"/>
      <c r="W27" s="9"/>
      <c r="Y27" s="2"/>
      <c r="AA27" s="9"/>
    </row>
    <row r="28" spans="2:27" ht="12.75">
      <c r="B28" s="9"/>
      <c r="C28" s="11"/>
      <c r="D28" s="9"/>
      <c r="M28" s="2"/>
      <c r="N28" s="9"/>
      <c r="O28" s="9"/>
      <c r="P28" s="16"/>
      <c r="Q28" s="29"/>
      <c r="R28" s="9"/>
      <c r="S28" s="2"/>
      <c r="T28" s="9"/>
      <c r="U28" s="9"/>
      <c r="V28" s="9"/>
      <c r="W28" s="9"/>
      <c r="Y28" s="9"/>
      <c r="Z28" s="9"/>
      <c r="AA28" s="9"/>
    </row>
    <row r="29" spans="2:27" ht="12.75">
      <c r="B29" s="9"/>
      <c r="C29" s="11"/>
      <c r="D29" s="9"/>
      <c r="M29" s="2"/>
      <c r="N29" s="9"/>
      <c r="O29" s="9"/>
      <c r="P29" s="16"/>
      <c r="Q29" s="9"/>
      <c r="R29" s="9"/>
      <c r="S29" s="2"/>
      <c r="T29" s="9"/>
      <c r="U29" s="9"/>
      <c r="V29" s="9"/>
      <c r="W29" s="9"/>
      <c r="Y29" s="9"/>
      <c r="Z29" s="9"/>
      <c r="AA29" s="9"/>
    </row>
    <row r="30" spans="1:25" ht="12.75">
      <c r="A30" s="9"/>
      <c r="B30" s="12"/>
      <c r="C30" s="11"/>
      <c r="D30" s="9"/>
      <c r="M30" s="32"/>
      <c r="N30" s="9"/>
      <c r="O30" s="29"/>
      <c r="P30" s="29"/>
      <c r="Q30" s="9"/>
      <c r="R30" s="9"/>
      <c r="S30" s="2"/>
      <c r="T30" s="9"/>
      <c r="U30" s="9"/>
      <c r="V30" s="9"/>
      <c r="W30" s="9"/>
      <c r="Y30" s="9"/>
    </row>
    <row r="31" spans="3:27" ht="12.75">
      <c r="C31" s="11"/>
      <c r="D31" s="9"/>
      <c r="M31" s="32"/>
      <c r="N31" s="9"/>
      <c r="O31" s="9"/>
      <c r="P31" s="29"/>
      <c r="Q31" s="9"/>
      <c r="R31" s="9"/>
      <c r="S31" s="2"/>
      <c r="T31" s="9"/>
      <c r="U31" s="9"/>
      <c r="V31" s="9"/>
      <c r="W31" s="9"/>
      <c r="Y31" s="9"/>
      <c r="Z31" s="9"/>
      <c r="AA31" s="9"/>
    </row>
    <row r="32" spans="3:27" ht="12.75">
      <c r="C32" s="11"/>
      <c r="D32" s="9"/>
      <c r="M32" s="32"/>
      <c r="N32" s="9"/>
      <c r="O32" s="29"/>
      <c r="P32" s="16"/>
      <c r="Q32" s="9"/>
      <c r="R32" s="9"/>
      <c r="S32" s="2"/>
      <c r="T32" s="9"/>
      <c r="U32" s="9"/>
      <c r="V32" s="9"/>
      <c r="W32" s="9"/>
      <c r="Y32" s="9"/>
      <c r="Z32" s="9"/>
      <c r="AA32" s="9"/>
    </row>
    <row r="33" spans="3:27" ht="12.75">
      <c r="C33" s="11"/>
      <c r="D33" s="9"/>
      <c r="M33" s="2"/>
      <c r="N33" s="9"/>
      <c r="O33" s="9"/>
      <c r="P33" s="16"/>
      <c r="Q33" s="29"/>
      <c r="R33" s="9"/>
      <c r="S33" s="2"/>
      <c r="T33" s="9"/>
      <c r="U33" s="9"/>
      <c r="V33" s="9"/>
      <c r="W33" s="9"/>
      <c r="Y33" s="9"/>
      <c r="Z33" s="9"/>
      <c r="AA33" s="9"/>
    </row>
    <row r="34" spans="1:27" ht="12.75">
      <c r="A34" s="9"/>
      <c r="C34" s="11"/>
      <c r="D34" s="9"/>
      <c r="G34" s="6"/>
      <c r="M34" s="2"/>
      <c r="N34" s="29"/>
      <c r="O34" s="9"/>
      <c r="P34" s="29"/>
      <c r="Q34" s="16"/>
      <c r="R34" s="29"/>
      <c r="S34" s="2"/>
      <c r="T34" s="16"/>
      <c r="U34" s="9"/>
      <c r="V34" s="9"/>
      <c r="W34" s="16"/>
      <c r="Y34" s="2"/>
      <c r="Z34" s="11"/>
      <c r="AA34" s="9"/>
    </row>
    <row r="35" spans="1:27" ht="12.75">
      <c r="A35" s="9"/>
      <c r="C35" s="11"/>
      <c r="D35" s="9"/>
      <c r="M35" s="2"/>
      <c r="N35" s="29"/>
      <c r="O35" s="9"/>
      <c r="P35" s="16"/>
      <c r="Q35" s="9"/>
      <c r="R35" s="9"/>
      <c r="S35" s="2"/>
      <c r="T35" s="9"/>
      <c r="U35" s="9"/>
      <c r="V35" s="9"/>
      <c r="W35" s="9"/>
      <c r="Y35" s="9"/>
      <c r="Z35" s="9"/>
      <c r="AA35" s="9"/>
    </row>
    <row r="36" spans="1:27" ht="12.75">
      <c r="A36" s="9"/>
      <c r="C36" s="11"/>
      <c r="D36" s="9"/>
      <c r="G36" s="6"/>
      <c r="M36" s="10"/>
      <c r="N36" s="9"/>
      <c r="O36" s="29"/>
      <c r="P36" s="16"/>
      <c r="Q36" s="16"/>
      <c r="R36" s="16"/>
      <c r="S36" s="2"/>
      <c r="T36" s="9"/>
      <c r="U36" s="9"/>
      <c r="V36" s="9"/>
      <c r="W36" s="9"/>
      <c r="X36" s="9"/>
      <c r="Y36" s="2"/>
      <c r="Z36" s="9"/>
      <c r="AA36" s="9"/>
    </row>
    <row r="37" spans="1:27" ht="12.75">
      <c r="A37" s="9"/>
      <c r="C37" s="11"/>
      <c r="D37" s="9"/>
      <c r="G37" s="6"/>
      <c r="M37" s="32"/>
      <c r="N37" s="9"/>
      <c r="O37" s="29"/>
      <c r="P37" s="16"/>
      <c r="Q37" s="9"/>
      <c r="R37" s="29"/>
      <c r="S37" s="2"/>
      <c r="T37" s="9"/>
      <c r="U37" s="9"/>
      <c r="V37" s="9"/>
      <c r="W37" s="9"/>
      <c r="X37" s="9"/>
      <c r="Y37" s="9"/>
      <c r="Z37" s="9"/>
      <c r="AA37" s="9"/>
    </row>
    <row r="38" spans="1:27" ht="12.75">
      <c r="A38" s="9"/>
      <c r="C38" s="11"/>
      <c r="D38" s="9"/>
      <c r="G38" s="6"/>
      <c r="M38" s="2"/>
      <c r="N38" s="29"/>
      <c r="O38" s="9"/>
      <c r="P38" s="29"/>
      <c r="Q38" s="9"/>
      <c r="R38" s="9"/>
      <c r="S38" s="2"/>
      <c r="T38" s="16"/>
      <c r="U38" s="9"/>
      <c r="V38" s="9"/>
      <c r="W38" s="9"/>
      <c r="Z38" s="9"/>
      <c r="AA38" s="9"/>
    </row>
    <row r="39" spans="1:27" ht="12.75">
      <c r="A39" s="9"/>
      <c r="C39" s="11"/>
      <c r="D39" s="9"/>
      <c r="G39" s="6"/>
      <c r="M39" s="2"/>
      <c r="N39" s="9"/>
      <c r="O39" s="29"/>
      <c r="P39" s="16"/>
      <c r="Q39" s="9"/>
      <c r="R39" s="29"/>
      <c r="S39" s="2"/>
      <c r="T39" s="9"/>
      <c r="U39" s="9"/>
      <c r="V39" s="9"/>
      <c r="W39" s="9"/>
      <c r="Y39" s="9"/>
      <c r="Z39" s="9"/>
      <c r="AA39" s="9"/>
    </row>
    <row r="40" spans="1:25" ht="12.75">
      <c r="A40" s="9"/>
      <c r="C40" s="11"/>
      <c r="H40" s="3"/>
      <c r="I40" s="3"/>
      <c r="J40" s="3"/>
      <c r="K40" s="9"/>
      <c r="M40" s="3"/>
      <c r="T40" s="9"/>
      <c r="U40" s="9"/>
      <c r="V40" s="9"/>
      <c r="W40" s="9"/>
      <c r="X40" s="9"/>
      <c r="Y40" s="9"/>
    </row>
    <row r="41" spans="2:3" ht="12.75">
      <c r="B41" s="9"/>
      <c r="C41" s="11"/>
    </row>
    <row r="42" spans="1:3" ht="12.75">
      <c r="A42" s="9"/>
      <c r="B42" s="9"/>
      <c r="C42" s="12"/>
    </row>
    <row r="43" spans="1:3" ht="12.75">
      <c r="A43" s="9"/>
      <c r="C43" s="12"/>
    </row>
    <row r="44" spans="2:4" ht="12.75">
      <c r="B44" s="9"/>
      <c r="C44" s="11"/>
      <c r="D44" s="3"/>
    </row>
    <row r="45" spans="2:4" ht="12.75">
      <c r="B45" s="9"/>
      <c r="C45" s="11"/>
      <c r="D45" s="3"/>
    </row>
  </sheetData>
  <printOptions/>
  <pageMargins left="0.19" right="0.2" top="0.85" bottom="1" header="0.5" footer="0.5"/>
  <pageSetup orientation="landscape" r:id="rId1"/>
  <ignoredErrors>
    <ignoredError sqref="U18" formula="1"/>
  </ignoredErrors>
</worksheet>
</file>

<file path=xl/worksheets/sheet2.xml><?xml version="1.0" encoding="utf-8"?>
<worksheet xmlns="http://schemas.openxmlformats.org/spreadsheetml/2006/main" xmlns:r="http://schemas.openxmlformats.org/officeDocument/2006/relationships">
  <dimension ref="A1:AN24"/>
  <sheetViews>
    <sheetView workbookViewId="0" topLeftCell="A1">
      <pane ySplit="1" topLeftCell="BM2" activePane="bottomLeft" state="frozen"/>
      <selection pane="topLeft" activeCell="A1" sqref="A1"/>
      <selection pane="bottomLeft" activeCell="A24" sqref="A24:IV25"/>
    </sheetView>
  </sheetViews>
  <sheetFormatPr defaultColWidth="9.140625" defaultRowHeight="12.75"/>
  <cols>
    <col min="1" max="2" width="7.28125" style="0" bestFit="1" customWidth="1"/>
    <col min="3" max="3" width="4.8515625" style="0" customWidth="1"/>
    <col min="4" max="4" width="6.140625" style="0" customWidth="1"/>
    <col min="5" max="5" width="4.57421875" style="0" bestFit="1" customWidth="1"/>
    <col min="6" max="6" width="4.28125" style="0" customWidth="1"/>
    <col min="7" max="7" width="33.00390625" style="0" customWidth="1"/>
    <col min="8" max="8" width="3.8515625" style="0" customWidth="1"/>
    <col min="9" max="9" width="4.28125" style="0" customWidth="1"/>
    <col min="10" max="10" width="2.8515625" style="0" customWidth="1"/>
    <col min="11" max="11" width="3.7109375" style="0" customWidth="1"/>
    <col min="12" max="12" width="3.00390625" style="0" customWidth="1"/>
    <col min="13" max="13" width="2.8515625" style="0" customWidth="1"/>
    <col min="14" max="14" width="4.140625" style="0" customWidth="1"/>
    <col min="15" max="15" width="2.8515625" style="0" customWidth="1"/>
    <col min="16" max="16" width="2.57421875" style="0" customWidth="1"/>
    <col min="17" max="17" width="3.7109375" style="0" customWidth="1"/>
    <col min="18" max="18" width="3.57421875" style="0" customWidth="1"/>
    <col min="19" max="19" width="3.00390625" style="0" customWidth="1"/>
    <col min="20" max="20" width="3.28125" style="0" customWidth="1"/>
    <col min="21" max="21" width="4.421875" style="0" customWidth="1"/>
    <col min="22" max="22" width="3.00390625" style="0" customWidth="1"/>
    <col min="23" max="23" width="4.7109375" style="0" bestFit="1" customWidth="1"/>
    <col min="24" max="24" width="5.57421875" style="0" customWidth="1"/>
    <col min="25" max="25" width="4.57421875" style="0" customWidth="1"/>
    <col min="26" max="26" width="4.8515625" style="0" customWidth="1"/>
    <col min="27" max="27" width="4.00390625" style="0" bestFit="1" customWidth="1"/>
    <col min="28" max="29" width="4.7109375" style="0" customWidth="1"/>
  </cols>
  <sheetData>
    <row r="1" spans="1:40" ht="129.75" customHeight="1">
      <c r="A1" s="268" t="s">
        <v>983</v>
      </c>
      <c r="B1" s="271" t="s">
        <v>697</v>
      </c>
      <c r="C1" s="271" t="s">
        <v>534</v>
      </c>
      <c r="D1" s="267" t="s">
        <v>1603</v>
      </c>
      <c r="E1" s="266" t="s">
        <v>1265</v>
      </c>
      <c r="F1" s="266" t="s">
        <v>1604</v>
      </c>
      <c r="G1" s="266" t="s">
        <v>2075</v>
      </c>
      <c r="H1" s="267" t="s">
        <v>1932</v>
      </c>
      <c r="I1" s="268" t="s">
        <v>559</v>
      </c>
      <c r="J1" s="268" t="s">
        <v>585</v>
      </c>
      <c r="K1" s="268" t="s">
        <v>584</v>
      </c>
      <c r="L1" s="268" t="s">
        <v>583</v>
      </c>
      <c r="M1" s="268" t="s">
        <v>582</v>
      </c>
      <c r="N1" s="268" t="s">
        <v>581</v>
      </c>
      <c r="O1" s="268" t="s">
        <v>580</v>
      </c>
      <c r="P1" s="268" t="s">
        <v>579</v>
      </c>
      <c r="Q1" s="279" t="s">
        <v>1950</v>
      </c>
      <c r="R1" s="268" t="s">
        <v>1798</v>
      </c>
      <c r="S1" s="268" t="s">
        <v>1797</v>
      </c>
      <c r="T1" s="268" t="s">
        <v>1785</v>
      </c>
      <c r="U1" s="268" t="s">
        <v>1820</v>
      </c>
      <c r="V1" s="268" t="s">
        <v>563</v>
      </c>
      <c r="W1" s="268" t="s">
        <v>572</v>
      </c>
      <c r="X1" s="268" t="s">
        <v>571</v>
      </c>
      <c r="Y1" s="268" t="s">
        <v>575</v>
      </c>
      <c r="Z1" s="268" t="s">
        <v>576</v>
      </c>
      <c r="AA1" s="268" t="s">
        <v>577</v>
      </c>
      <c r="AB1" s="268" t="s">
        <v>578</v>
      </c>
      <c r="AC1" s="268" t="s">
        <v>553</v>
      </c>
      <c r="AD1" s="268"/>
      <c r="AE1" s="268"/>
      <c r="AF1" s="266"/>
      <c r="AG1" s="266"/>
      <c r="AH1" s="266"/>
      <c r="AI1" s="266"/>
      <c r="AJ1" s="266"/>
      <c r="AK1" s="266"/>
      <c r="AL1" s="266"/>
      <c r="AM1" s="266"/>
      <c r="AN1" s="266"/>
    </row>
    <row r="2" spans="1:31" ht="12.75">
      <c r="A2" s="9">
        <f aca="true" t="shared" si="0" ref="A2:A10">B2</f>
        <v>613.2142857142858</v>
      </c>
      <c r="B2" s="9">
        <f aca="true" t="shared" si="1" ref="B2:B9">I2*W2</f>
        <v>613.2142857142858</v>
      </c>
      <c r="C2" s="122" t="s">
        <v>1102</v>
      </c>
      <c r="D2">
        <v>101</v>
      </c>
      <c r="E2" s="2">
        <f aca="true" t="shared" si="2" ref="E2:E11">D2/28.349523</f>
        <v>3.562670172616308</v>
      </c>
      <c r="F2" s="2">
        <f aca="true" t="shared" si="3" ref="F2:F11">E2/16</f>
        <v>0.22266688578851926</v>
      </c>
      <c r="G2" s="11" t="s">
        <v>1845</v>
      </c>
      <c r="H2" s="9">
        <v>28</v>
      </c>
      <c r="I2">
        <v>170</v>
      </c>
      <c r="J2">
        <v>13</v>
      </c>
      <c r="K2" s="2">
        <v>3</v>
      </c>
      <c r="L2">
        <v>0</v>
      </c>
      <c r="M2">
        <v>9</v>
      </c>
      <c r="N2">
        <v>2</v>
      </c>
      <c r="O2">
        <v>5</v>
      </c>
      <c r="P2">
        <v>1</v>
      </c>
      <c r="Q2" s="32">
        <f aca="true" t="shared" si="4" ref="Q2:Q11">I2/H2</f>
        <v>6.071428571428571</v>
      </c>
      <c r="R2" s="9">
        <f aca="true" t="shared" si="5" ref="R2:R11">100*4*O2/I2</f>
        <v>11.764705882352942</v>
      </c>
      <c r="S2" s="9">
        <f aca="true" t="shared" si="6" ref="S2:S11">100*9*J2/I2</f>
        <v>68.82352941176471</v>
      </c>
      <c r="T2" s="269">
        <f aca="true" t="shared" si="7" ref="T2:T11">100*(K2*9)/I2</f>
        <v>15.882352941176471</v>
      </c>
      <c r="U2" s="16">
        <f aca="true" t="shared" si="8" ref="U2:U11">100*M2*4/I2</f>
        <v>21.176470588235293</v>
      </c>
      <c r="V2" s="9">
        <f aca="true" t="shared" si="9" ref="V2:V11">100*P2/H2</f>
        <v>3.5714285714285716</v>
      </c>
      <c r="W2" s="44">
        <f aca="true" t="shared" si="10" ref="W2:W11">D2/H2</f>
        <v>3.607142857142857</v>
      </c>
      <c r="X2" s="9">
        <f aca="true" t="shared" si="11" ref="X2:X11">W2*O2</f>
        <v>18.035714285714285</v>
      </c>
      <c r="Y2" s="9">
        <f aca="true" t="shared" si="12" ref="Y2:Y11">W2*J2</f>
        <v>46.892857142857146</v>
      </c>
      <c r="Z2" s="9">
        <f aca="true" t="shared" si="13" ref="Z2:Z11">W2*M2</f>
        <v>32.464285714285715</v>
      </c>
      <c r="AA2" s="9">
        <f aca="true" t="shared" si="14" ref="AA2:AA11">P2*W2</f>
        <v>3.607142857142857</v>
      </c>
      <c r="AB2">
        <f aca="true" t="shared" si="15" ref="AB2:AB11">W2*L2</f>
        <v>0</v>
      </c>
      <c r="AC2" s="2">
        <f aca="true" t="shared" si="16" ref="AC2:AC11">K2*W2</f>
        <v>10.821428571428571</v>
      </c>
      <c r="AD2" s="9" t="s">
        <v>528</v>
      </c>
      <c r="AE2" s="9"/>
    </row>
    <row r="3" spans="1:31" ht="12.75">
      <c r="A3" s="9">
        <f t="shared" si="0"/>
        <v>1260</v>
      </c>
      <c r="B3" s="9">
        <f t="shared" si="1"/>
        <v>1260</v>
      </c>
      <c r="C3" s="122" t="s">
        <v>1102</v>
      </c>
      <c r="D3">
        <f>6*H3</f>
        <v>300</v>
      </c>
      <c r="E3" s="2">
        <f t="shared" si="2"/>
        <v>10.582188631533588</v>
      </c>
      <c r="F3" s="2">
        <f t="shared" si="3"/>
        <v>0.6613867894708493</v>
      </c>
      <c r="G3" s="11" t="s">
        <v>1321</v>
      </c>
      <c r="H3" s="9">
        <v>50</v>
      </c>
      <c r="I3">
        <v>210</v>
      </c>
      <c r="J3">
        <v>7</v>
      </c>
      <c r="K3" s="10">
        <v>4.5</v>
      </c>
      <c r="L3">
        <v>2.5</v>
      </c>
      <c r="M3">
        <v>21</v>
      </c>
      <c r="N3">
        <v>14</v>
      </c>
      <c r="O3">
        <v>15</v>
      </c>
      <c r="P3">
        <v>1</v>
      </c>
      <c r="Q3" s="2">
        <f t="shared" si="4"/>
        <v>4.2</v>
      </c>
      <c r="R3" s="16">
        <f t="shared" si="5"/>
        <v>28.571428571428573</v>
      </c>
      <c r="S3" s="9">
        <f t="shared" si="6"/>
        <v>30</v>
      </c>
      <c r="T3" s="269">
        <f t="shared" si="7"/>
        <v>19.285714285714285</v>
      </c>
      <c r="U3" s="16">
        <f t="shared" si="8"/>
        <v>40</v>
      </c>
      <c r="V3" s="42">
        <f t="shared" si="9"/>
        <v>2</v>
      </c>
      <c r="W3" s="44">
        <f t="shared" si="10"/>
        <v>6</v>
      </c>
      <c r="X3" s="16">
        <f t="shared" si="11"/>
        <v>90</v>
      </c>
      <c r="Y3" s="9">
        <f t="shared" si="12"/>
        <v>42</v>
      </c>
      <c r="Z3" s="9">
        <f t="shared" si="13"/>
        <v>126</v>
      </c>
      <c r="AA3" s="16">
        <f t="shared" si="14"/>
        <v>6</v>
      </c>
      <c r="AB3">
        <f t="shared" si="15"/>
        <v>15</v>
      </c>
      <c r="AC3" s="2">
        <f t="shared" si="16"/>
        <v>27</v>
      </c>
      <c r="AD3" s="11" t="s">
        <v>532</v>
      </c>
      <c r="AE3" s="9"/>
    </row>
    <row r="4" spans="1:31" ht="12.75">
      <c r="A4" s="9">
        <f t="shared" si="0"/>
        <v>840</v>
      </c>
      <c r="B4" s="9">
        <f t="shared" si="1"/>
        <v>840</v>
      </c>
      <c r="C4" s="122" t="s">
        <v>1102</v>
      </c>
      <c r="D4">
        <f>6*H4</f>
        <v>210</v>
      </c>
      <c r="E4" s="2">
        <f t="shared" si="2"/>
        <v>7.407532042073512</v>
      </c>
      <c r="F4" s="2">
        <f t="shared" si="3"/>
        <v>0.4629707526295945</v>
      </c>
      <c r="G4" s="11" t="s">
        <v>2050</v>
      </c>
      <c r="H4" s="9">
        <v>35</v>
      </c>
      <c r="I4">
        <v>140</v>
      </c>
      <c r="J4">
        <v>4</v>
      </c>
      <c r="K4" s="10">
        <v>0.5</v>
      </c>
      <c r="L4" s="6">
        <v>0</v>
      </c>
      <c r="M4" s="6">
        <v>25</v>
      </c>
      <c r="N4" s="6">
        <v>13</v>
      </c>
      <c r="O4" s="6">
        <v>3</v>
      </c>
      <c r="P4" s="6">
        <v>1</v>
      </c>
      <c r="Q4" s="2">
        <f t="shared" si="4"/>
        <v>4</v>
      </c>
      <c r="R4" s="16">
        <f t="shared" si="5"/>
        <v>8.571428571428571</v>
      </c>
      <c r="S4" s="9">
        <f t="shared" si="6"/>
        <v>25.714285714285715</v>
      </c>
      <c r="T4" s="29">
        <f t="shared" si="7"/>
        <v>3.2142857142857144</v>
      </c>
      <c r="U4" s="16">
        <f t="shared" si="8"/>
        <v>71.42857142857143</v>
      </c>
      <c r="V4" s="9">
        <f t="shared" si="9"/>
        <v>2.857142857142857</v>
      </c>
      <c r="W4" s="44">
        <f t="shared" si="10"/>
        <v>6</v>
      </c>
      <c r="X4" s="16">
        <f t="shared" si="11"/>
        <v>18</v>
      </c>
      <c r="Y4" s="9">
        <f t="shared" si="12"/>
        <v>24</v>
      </c>
      <c r="Z4" s="9">
        <f t="shared" si="13"/>
        <v>150</v>
      </c>
      <c r="AA4" s="9">
        <f t="shared" si="14"/>
        <v>6</v>
      </c>
      <c r="AB4">
        <f t="shared" si="15"/>
        <v>0</v>
      </c>
      <c r="AC4" s="2">
        <f t="shared" si="16"/>
        <v>3</v>
      </c>
      <c r="AD4" s="9" t="s">
        <v>1823</v>
      </c>
      <c r="AE4" s="9"/>
    </row>
    <row r="5" spans="1:31" ht="12.75">
      <c r="A5" s="9">
        <f t="shared" si="0"/>
        <v>1260</v>
      </c>
      <c r="B5" s="9">
        <f t="shared" si="1"/>
        <v>1260</v>
      </c>
      <c r="C5" s="122" t="s">
        <v>1102</v>
      </c>
      <c r="D5" s="6">
        <f>6*H5</f>
        <v>300</v>
      </c>
      <c r="E5" s="2">
        <f t="shared" si="2"/>
        <v>10.582188631533588</v>
      </c>
      <c r="F5" s="2">
        <f t="shared" si="3"/>
        <v>0.6613867894708493</v>
      </c>
      <c r="G5" s="11" t="s">
        <v>517</v>
      </c>
      <c r="H5" s="9">
        <v>50</v>
      </c>
      <c r="I5">
        <v>210</v>
      </c>
      <c r="J5">
        <v>7</v>
      </c>
      <c r="K5" s="10">
        <v>2.5</v>
      </c>
      <c r="L5" s="6">
        <v>0</v>
      </c>
      <c r="M5" s="6">
        <v>23</v>
      </c>
      <c r="N5" s="6">
        <v>16</v>
      </c>
      <c r="O5" s="6">
        <v>15</v>
      </c>
      <c r="P5" s="6">
        <v>2</v>
      </c>
      <c r="Q5" s="2">
        <f t="shared" si="4"/>
        <v>4.2</v>
      </c>
      <c r="R5" s="16">
        <f t="shared" si="5"/>
        <v>28.571428571428573</v>
      </c>
      <c r="S5" s="9">
        <f t="shared" si="6"/>
        <v>30</v>
      </c>
      <c r="T5" s="16">
        <f t="shared" si="7"/>
        <v>10.714285714285714</v>
      </c>
      <c r="U5" s="16">
        <f t="shared" si="8"/>
        <v>43.80952380952381</v>
      </c>
      <c r="V5" s="42">
        <f t="shared" si="9"/>
        <v>4</v>
      </c>
      <c r="W5" s="44">
        <f t="shared" si="10"/>
        <v>6</v>
      </c>
      <c r="X5" s="9">
        <f t="shared" si="11"/>
        <v>90</v>
      </c>
      <c r="Y5" s="9">
        <f t="shared" si="12"/>
        <v>42</v>
      </c>
      <c r="Z5" s="9">
        <f t="shared" si="13"/>
        <v>138</v>
      </c>
      <c r="AA5" s="9">
        <f t="shared" si="14"/>
        <v>12</v>
      </c>
      <c r="AB5">
        <f t="shared" si="15"/>
        <v>0</v>
      </c>
      <c r="AC5" s="2">
        <f t="shared" si="16"/>
        <v>15</v>
      </c>
      <c r="AD5" s="9" t="s">
        <v>1468</v>
      </c>
      <c r="AE5" s="9"/>
    </row>
    <row r="6" spans="1:31" ht="12.75">
      <c r="A6" s="9">
        <f t="shared" si="0"/>
        <v>923.6666666666667</v>
      </c>
      <c r="B6" s="9">
        <f t="shared" si="1"/>
        <v>923.6666666666667</v>
      </c>
      <c r="C6" s="122" t="s">
        <v>1102</v>
      </c>
      <c r="D6">
        <v>163</v>
      </c>
      <c r="E6" s="2">
        <f t="shared" si="2"/>
        <v>5.749655823133249</v>
      </c>
      <c r="F6" s="2">
        <f t="shared" si="3"/>
        <v>0.3593534889458281</v>
      </c>
      <c r="G6" s="11" t="s">
        <v>604</v>
      </c>
      <c r="H6" s="9">
        <v>30</v>
      </c>
      <c r="I6">
        <v>170</v>
      </c>
      <c r="J6">
        <v>15</v>
      </c>
      <c r="K6" s="10">
        <v>1</v>
      </c>
      <c r="L6">
        <v>0</v>
      </c>
      <c r="M6">
        <v>5</v>
      </c>
      <c r="N6">
        <v>1</v>
      </c>
      <c r="O6">
        <v>7</v>
      </c>
      <c r="P6">
        <v>4</v>
      </c>
      <c r="Q6" s="2">
        <f t="shared" si="4"/>
        <v>5.666666666666667</v>
      </c>
      <c r="R6" s="9">
        <f t="shared" si="5"/>
        <v>16.470588235294116</v>
      </c>
      <c r="S6" s="29">
        <f t="shared" si="6"/>
        <v>79.41176470588235</v>
      </c>
      <c r="T6" s="270">
        <f t="shared" si="7"/>
        <v>5.294117647058823</v>
      </c>
      <c r="U6" s="16">
        <f t="shared" si="8"/>
        <v>11.764705882352942</v>
      </c>
      <c r="V6" s="29">
        <f t="shared" si="9"/>
        <v>13.333333333333334</v>
      </c>
      <c r="W6" s="44">
        <f t="shared" si="10"/>
        <v>5.433333333333334</v>
      </c>
      <c r="X6" s="9">
        <f t="shared" si="11"/>
        <v>38.03333333333333</v>
      </c>
      <c r="Y6" s="9">
        <f t="shared" si="12"/>
        <v>81.5</v>
      </c>
      <c r="Z6" s="9">
        <f t="shared" si="13"/>
        <v>27.166666666666668</v>
      </c>
      <c r="AA6" s="9">
        <f t="shared" si="14"/>
        <v>21.733333333333334</v>
      </c>
      <c r="AB6">
        <f t="shared" si="15"/>
        <v>0</v>
      </c>
      <c r="AC6" s="2">
        <f t="shared" si="16"/>
        <v>5.433333333333334</v>
      </c>
      <c r="AD6" s="9" t="s">
        <v>527</v>
      </c>
      <c r="AE6" s="9"/>
    </row>
    <row r="7" spans="1:31" ht="12.75">
      <c r="A7" s="9">
        <f t="shared" si="0"/>
        <v>540</v>
      </c>
      <c r="B7" s="9">
        <f t="shared" si="1"/>
        <v>540</v>
      </c>
      <c r="C7" s="122" t="s">
        <v>1102</v>
      </c>
      <c r="D7">
        <f>6*H7</f>
        <v>132</v>
      </c>
      <c r="E7" s="2">
        <f t="shared" si="2"/>
        <v>4.6561629978747785</v>
      </c>
      <c r="F7" s="2">
        <f t="shared" si="3"/>
        <v>0.29101018736717366</v>
      </c>
      <c r="G7" s="11" t="s">
        <v>253</v>
      </c>
      <c r="H7" s="9">
        <v>22</v>
      </c>
      <c r="I7">
        <v>90</v>
      </c>
      <c r="J7">
        <v>2</v>
      </c>
      <c r="K7" s="10">
        <v>0.5</v>
      </c>
      <c r="L7">
        <v>0</v>
      </c>
      <c r="M7">
        <v>18</v>
      </c>
      <c r="N7">
        <v>8</v>
      </c>
      <c r="O7">
        <v>1</v>
      </c>
      <c r="P7">
        <v>0</v>
      </c>
      <c r="Q7" s="2">
        <f t="shared" si="4"/>
        <v>4.090909090909091</v>
      </c>
      <c r="R7" s="42">
        <f t="shared" si="5"/>
        <v>4.444444444444445</v>
      </c>
      <c r="S7" s="9">
        <f t="shared" si="6"/>
        <v>20</v>
      </c>
      <c r="T7" s="29">
        <f t="shared" si="7"/>
        <v>5</v>
      </c>
      <c r="U7" s="29">
        <f t="shared" si="8"/>
        <v>80</v>
      </c>
      <c r="V7" s="42">
        <f t="shared" si="9"/>
        <v>0</v>
      </c>
      <c r="W7" s="44">
        <f t="shared" si="10"/>
        <v>6</v>
      </c>
      <c r="X7" s="9">
        <f t="shared" si="11"/>
        <v>6</v>
      </c>
      <c r="Y7" s="9">
        <f t="shared" si="12"/>
        <v>12</v>
      </c>
      <c r="Z7" s="9">
        <f t="shared" si="13"/>
        <v>108</v>
      </c>
      <c r="AA7" s="9">
        <f t="shared" si="14"/>
        <v>0</v>
      </c>
      <c r="AB7">
        <f t="shared" si="15"/>
        <v>0</v>
      </c>
      <c r="AC7" s="2">
        <f t="shared" si="16"/>
        <v>3</v>
      </c>
      <c r="AD7" s="9" t="s">
        <v>1591</v>
      </c>
      <c r="AE7" s="9"/>
    </row>
    <row r="8" spans="1:31" ht="12.75">
      <c r="A8" s="9">
        <f t="shared" si="0"/>
        <v>1788</v>
      </c>
      <c r="B8" s="9">
        <f t="shared" si="1"/>
        <v>1788</v>
      </c>
      <c r="C8" s="122" t="s">
        <v>1102</v>
      </c>
      <c r="D8" s="92">
        <v>298</v>
      </c>
      <c r="E8" s="2">
        <f t="shared" si="2"/>
        <v>10.511640707323364</v>
      </c>
      <c r="F8" s="2">
        <f t="shared" si="3"/>
        <v>0.6569775442077103</v>
      </c>
      <c r="G8" s="11" t="s">
        <v>564</v>
      </c>
      <c r="H8" s="9">
        <v>30</v>
      </c>
      <c r="I8">
        <v>180</v>
      </c>
      <c r="J8">
        <v>13</v>
      </c>
      <c r="K8" s="10">
        <v>1.5</v>
      </c>
      <c r="L8">
        <v>0</v>
      </c>
      <c r="M8">
        <v>9</v>
      </c>
      <c r="N8">
        <v>2</v>
      </c>
      <c r="O8">
        <v>6</v>
      </c>
      <c r="P8">
        <v>3</v>
      </c>
      <c r="Q8" s="32">
        <f t="shared" si="4"/>
        <v>6</v>
      </c>
      <c r="R8" s="9">
        <f t="shared" si="5"/>
        <v>13.333333333333334</v>
      </c>
      <c r="S8" s="16">
        <f t="shared" si="6"/>
        <v>65</v>
      </c>
      <c r="T8" s="16">
        <f t="shared" si="7"/>
        <v>7.5</v>
      </c>
      <c r="U8" s="16">
        <f t="shared" si="8"/>
        <v>20</v>
      </c>
      <c r="V8" s="29">
        <f t="shared" si="9"/>
        <v>10</v>
      </c>
      <c r="W8" s="44">
        <f t="shared" si="10"/>
        <v>9.933333333333334</v>
      </c>
      <c r="X8" s="9">
        <f t="shared" si="11"/>
        <v>59.6</v>
      </c>
      <c r="Y8" s="9">
        <f t="shared" si="12"/>
        <v>129.13333333333333</v>
      </c>
      <c r="Z8" s="9">
        <f t="shared" si="13"/>
        <v>89.4</v>
      </c>
      <c r="AA8" s="9">
        <f t="shared" si="14"/>
        <v>29.8</v>
      </c>
      <c r="AB8" s="9">
        <f t="shared" si="15"/>
        <v>0</v>
      </c>
      <c r="AC8" s="2">
        <f t="shared" si="16"/>
        <v>14.9</v>
      </c>
      <c r="AD8" s="9" t="s">
        <v>570</v>
      </c>
      <c r="AE8" s="9"/>
    </row>
    <row r="9" spans="1:31" ht="12.75">
      <c r="A9" s="9">
        <f t="shared" si="0"/>
        <v>540</v>
      </c>
      <c r="B9" s="9">
        <f t="shared" si="1"/>
        <v>540</v>
      </c>
      <c r="C9" s="122" t="s">
        <v>1102</v>
      </c>
      <c r="D9">
        <f>3*H9</f>
        <v>144</v>
      </c>
      <c r="E9" s="2">
        <f t="shared" si="2"/>
        <v>5.079450543136122</v>
      </c>
      <c r="F9" s="2">
        <f t="shared" si="3"/>
        <v>0.31746565894600765</v>
      </c>
      <c r="G9" s="11" t="s">
        <v>724</v>
      </c>
      <c r="H9" s="9">
        <v>48</v>
      </c>
      <c r="I9">
        <v>180</v>
      </c>
      <c r="J9">
        <v>4</v>
      </c>
      <c r="K9" s="10">
        <v>3</v>
      </c>
      <c r="L9" s="6">
        <v>0</v>
      </c>
      <c r="M9" s="6">
        <v>26</v>
      </c>
      <c r="N9" s="6">
        <v>14</v>
      </c>
      <c r="O9" s="6">
        <v>10</v>
      </c>
      <c r="P9" s="6">
        <v>2</v>
      </c>
      <c r="Q9" s="2">
        <f t="shared" si="4"/>
        <v>3.75</v>
      </c>
      <c r="R9" s="16">
        <f t="shared" si="5"/>
        <v>22.22222222222222</v>
      </c>
      <c r="S9" s="9">
        <f t="shared" si="6"/>
        <v>20</v>
      </c>
      <c r="T9" s="42">
        <f t="shared" si="7"/>
        <v>15</v>
      </c>
      <c r="U9" s="16">
        <f t="shared" si="8"/>
        <v>57.77777777777778</v>
      </c>
      <c r="V9" s="9">
        <f t="shared" si="9"/>
        <v>4.166666666666667</v>
      </c>
      <c r="W9" s="44">
        <f t="shared" si="10"/>
        <v>3</v>
      </c>
      <c r="X9" s="9">
        <f t="shared" si="11"/>
        <v>30</v>
      </c>
      <c r="Y9" s="9">
        <f t="shared" si="12"/>
        <v>12</v>
      </c>
      <c r="Z9" s="9">
        <f t="shared" si="13"/>
        <v>78</v>
      </c>
      <c r="AA9" s="9">
        <f t="shared" si="14"/>
        <v>6</v>
      </c>
      <c r="AB9">
        <f t="shared" si="15"/>
        <v>0</v>
      </c>
      <c r="AC9" s="2">
        <f t="shared" si="16"/>
        <v>9</v>
      </c>
      <c r="AD9" s="9" t="s">
        <v>1574</v>
      </c>
      <c r="AE9" s="9"/>
    </row>
    <row r="10" spans="1:31" ht="12.75">
      <c r="A10" s="9">
        <f t="shared" si="0"/>
        <v>855</v>
      </c>
      <c r="B10" s="9">
        <f>I10*W10</f>
        <v>855</v>
      </c>
      <c r="C10" s="122" t="s">
        <v>1102</v>
      </c>
      <c r="D10" s="93">
        <f>82+72+74</f>
        <v>228</v>
      </c>
      <c r="E10" s="2">
        <f t="shared" si="2"/>
        <v>8.042463359965527</v>
      </c>
      <c r="F10" s="2">
        <f t="shared" si="3"/>
        <v>0.5026539599978455</v>
      </c>
      <c r="G10" s="11" t="s">
        <v>870</v>
      </c>
      <c r="H10" s="9">
        <v>16</v>
      </c>
      <c r="I10">
        <v>60</v>
      </c>
      <c r="J10">
        <v>0</v>
      </c>
      <c r="K10" s="10">
        <v>0</v>
      </c>
      <c r="L10" s="6">
        <v>0</v>
      </c>
      <c r="M10" s="6">
        <v>16</v>
      </c>
      <c r="N10" s="6">
        <v>10</v>
      </c>
      <c r="O10" s="6">
        <v>0</v>
      </c>
      <c r="P10" s="6">
        <v>0</v>
      </c>
      <c r="Q10" s="2">
        <f t="shared" si="4"/>
        <v>3.75</v>
      </c>
      <c r="R10" s="42">
        <f t="shared" si="5"/>
        <v>0</v>
      </c>
      <c r="S10" s="9">
        <f t="shared" si="6"/>
        <v>0</v>
      </c>
      <c r="T10" s="29">
        <f t="shared" si="7"/>
        <v>0</v>
      </c>
      <c r="U10" s="29">
        <f t="shared" si="8"/>
        <v>106.66666666666667</v>
      </c>
      <c r="V10" s="42">
        <f t="shared" si="9"/>
        <v>0</v>
      </c>
      <c r="W10" s="44">
        <f t="shared" si="10"/>
        <v>14.25</v>
      </c>
      <c r="X10" s="16">
        <f t="shared" si="11"/>
        <v>0</v>
      </c>
      <c r="Y10" s="9">
        <f t="shared" si="12"/>
        <v>0</v>
      </c>
      <c r="Z10" s="9">
        <f t="shared" si="13"/>
        <v>228</v>
      </c>
      <c r="AA10" s="9">
        <f t="shared" si="14"/>
        <v>0</v>
      </c>
      <c r="AB10">
        <f t="shared" si="15"/>
        <v>0</v>
      </c>
      <c r="AC10" s="2">
        <f t="shared" si="16"/>
        <v>0</v>
      </c>
      <c r="AD10" s="9" t="s">
        <v>2062</v>
      </c>
      <c r="AE10" s="9"/>
    </row>
    <row r="11" spans="1:31" ht="12.75">
      <c r="A11" s="93"/>
      <c r="B11" s="9">
        <f>I11*W11</f>
        <v>600</v>
      </c>
      <c r="C11" s="122" t="s">
        <v>1102</v>
      </c>
      <c r="D11" s="92">
        <f>3*H11</f>
        <v>117</v>
      </c>
      <c r="E11" s="2">
        <f t="shared" si="2"/>
        <v>4.127053566298099</v>
      </c>
      <c r="F11" s="2">
        <f t="shared" si="3"/>
        <v>0.2579408478936312</v>
      </c>
      <c r="G11" s="11" t="s">
        <v>1937</v>
      </c>
      <c r="H11" s="9">
        <v>39</v>
      </c>
      <c r="I11">
        <v>200</v>
      </c>
      <c r="J11">
        <v>10</v>
      </c>
      <c r="K11" s="10">
        <v>1.5</v>
      </c>
      <c r="L11">
        <v>0</v>
      </c>
      <c r="M11">
        <v>23</v>
      </c>
      <c r="N11">
        <v>4</v>
      </c>
      <c r="O11">
        <v>4</v>
      </c>
      <c r="P11">
        <v>1</v>
      </c>
      <c r="Q11" s="2">
        <f t="shared" si="4"/>
        <v>5.128205128205129</v>
      </c>
      <c r="R11" s="42">
        <f t="shared" si="5"/>
        <v>8</v>
      </c>
      <c r="S11" s="9">
        <f t="shared" si="6"/>
        <v>45</v>
      </c>
      <c r="T11" s="16">
        <f t="shared" si="7"/>
        <v>6.75</v>
      </c>
      <c r="U11" s="16">
        <f t="shared" si="8"/>
        <v>46</v>
      </c>
      <c r="V11" s="9">
        <f t="shared" si="9"/>
        <v>2.5641025641025643</v>
      </c>
      <c r="W11" s="44">
        <f t="shared" si="10"/>
        <v>3</v>
      </c>
      <c r="X11" s="9">
        <f t="shared" si="11"/>
        <v>12</v>
      </c>
      <c r="Y11" s="9">
        <f t="shared" si="12"/>
        <v>30</v>
      </c>
      <c r="Z11" s="9">
        <f t="shared" si="13"/>
        <v>69</v>
      </c>
      <c r="AA11" s="9">
        <f t="shared" si="14"/>
        <v>3</v>
      </c>
      <c r="AB11">
        <f t="shared" si="15"/>
        <v>0</v>
      </c>
      <c r="AC11" s="2">
        <f t="shared" si="16"/>
        <v>4.5</v>
      </c>
      <c r="AD11" s="9" t="s">
        <v>1590</v>
      </c>
      <c r="AE11" s="9"/>
    </row>
    <row r="12" spans="1:30" ht="13.5" thickBot="1">
      <c r="A12" s="9">
        <f>B12</f>
        <v>1935.483870967742</v>
      </c>
      <c r="B12" s="9">
        <f>I12*W12</f>
        <v>1935.483870967742</v>
      </c>
      <c r="C12" s="122" t="s">
        <v>1102</v>
      </c>
      <c r="D12" s="12">
        <v>250</v>
      </c>
      <c r="E12" s="2">
        <f>D12/28.349523</f>
        <v>8.81849052627799</v>
      </c>
      <c r="F12" s="2">
        <f>E12/16</f>
        <v>0.5511556578923744</v>
      </c>
      <c r="G12" s="11" t="s">
        <v>539</v>
      </c>
      <c r="H12" s="9">
        <v>31</v>
      </c>
      <c r="I12">
        <v>240</v>
      </c>
      <c r="J12">
        <v>23</v>
      </c>
      <c r="K12" s="10">
        <v>3.5</v>
      </c>
      <c r="L12">
        <v>0</v>
      </c>
      <c r="M12">
        <v>4</v>
      </c>
      <c r="N12">
        <v>1</v>
      </c>
      <c r="O12">
        <v>2</v>
      </c>
      <c r="P12">
        <v>2</v>
      </c>
      <c r="Q12" s="32">
        <f>I12/H12</f>
        <v>7.741935483870968</v>
      </c>
      <c r="R12" s="42">
        <f>100*4*O12/I12</f>
        <v>3.3333333333333335</v>
      </c>
      <c r="S12" s="29">
        <f>100*9*J12/I12</f>
        <v>86.25</v>
      </c>
      <c r="T12" s="16">
        <f>100*(K12*9)/I12</f>
        <v>13.125</v>
      </c>
      <c r="U12" s="16">
        <f>100*M12*4/I12</f>
        <v>6.666666666666667</v>
      </c>
      <c r="V12" s="9">
        <f>100*P12/H12</f>
        <v>6.451612903225806</v>
      </c>
      <c r="W12" s="44">
        <f>D12/H12</f>
        <v>8.064516129032258</v>
      </c>
      <c r="X12" s="9">
        <f>W12*O12</f>
        <v>16.129032258064516</v>
      </c>
      <c r="Y12" s="9">
        <f>W12*J12</f>
        <v>185.48387096774192</v>
      </c>
      <c r="Z12" s="9">
        <f>W12*M12</f>
        <v>32.25806451612903</v>
      </c>
      <c r="AA12" s="9">
        <f>P12*W12</f>
        <v>16.129032258064516</v>
      </c>
      <c r="AB12">
        <f>W12*L12</f>
        <v>0</v>
      </c>
      <c r="AC12" s="2">
        <f>K12*W12</f>
        <v>28.225806451612904</v>
      </c>
      <c r="AD12" t="s">
        <v>1594</v>
      </c>
    </row>
    <row r="13" spans="1:32" ht="12.75">
      <c r="A13" s="9">
        <f>SUM(A2:A12)</f>
        <v>10555.364823348695</v>
      </c>
      <c r="B13" s="9">
        <f>SUM(B2:B12)</f>
        <v>11155.364823348695</v>
      </c>
      <c r="C13" s="9"/>
      <c r="D13" s="9">
        <f>SUM(D2:D12)</f>
        <v>2243</v>
      </c>
      <c r="E13" s="9">
        <f>D13/28.349523</f>
        <v>79.11949700176613</v>
      </c>
      <c r="F13" s="2">
        <f>E13/16</f>
        <v>4.944968562610383</v>
      </c>
      <c r="G13" s="11" t="s">
        <v>1507</v>
      </c>
      <c r="L13" s="3"/>
      <c r="M13" s="3"/>
      <c r="N13" s="3"/>
      <c r="O13" s="9"/>
      <c r="Q13" s="3"/>
      <c r="X13" s="272">
        <f aca="true" t="shared" si="17" ref="X13:AC13">SUM(X2:X12)</f>
        <v>377.7980798771122</v>
      </c>
      <c r="Y13" s="273">
        <f t="shared" si="17"/>
        <v>605.0100614439324</v>
      </c>
      <c r="Z13" s="273">
        <f t="shared" si="17"/>
        <v>1078.2890168970814</v>
      </c>
      <c r="AA13" s="274">
        <f t="shared" si="17"/>
        <v>104.2695084485407</v>
      </c>
      <c r="AB13" s="273">
        <f t="shared" si="17"/>
        <v>15</v>
      </c>
      <c r="AC13" s="274">
        <f t="shared" si="17"/>
        <v>120.88056835637482</v>
      </c>
      <c r="AD13" s="174" t="s">
        <v>1947</v>
      </c>
      <c r="AE13" s="174"/>
      <c r="AF13" s="191"/>
    </row>
    <row r="14" spans="5:32" ht="12.75">
      <c r="E14" s="9"/>
      <c r="F14" s="2"/>
      <c r="G14" s="12"/>
      <c r="H14">
        <v>2.66</v>
      </c>
      <c r="I14" t="s">
        <v>534</v>
      </c>
      <c r="X14" s="275">
        <f>4*X13</f>
        <v>1511.1923195084487</v>
      </c>
      <c r="Y14" s="276">
        <f>9*Y13</f>
        <v>5445.090552995392</v>
      </c>
      <c r="Z14" s="276">
        <f>4*Z13</f>
        <v>4313.156067588326</v>
      </c>
      <c r="AA14" s="92"/>
      <c r="AB14" s="92"/>
      <c r="AC14" s="277">
        <f>9*AC13</f>
        <v>1087.9251152073734</v>
      </c>
      <c r="AD14" s="92" t="s">
        <v>938</v>
      </c>
      <c r="AE14" s="92"/>
      <c r="AF14" s="193"/>
    </row>
    <row r="15" spans="4:32" ht="12.75">
      <c r="D15" s="9"/>
      <c r="E15" s="2"/>
      <c r="F15" s="2"/>
      <c r="G15" s="11"/>
      <c r="X15" s="196">
        <f>X14*100/B13</f>
        <v>13.546776312913167</v>
      </c>
      <c r="Y15" s="93">
        <f>100*Y14/B13</f>
        <v>48.8114072396679</v>
      </c>
      <c r="Z15" s="93">
        <f>Z14*100/B13</f>
        <v>38.66441067494889</v>
      </c>
      <c r="AA15" s="92"/>
      <c r="AB15" s="92"/>
      <c r="AC15" s="94">
        <f>100*AC14/B13</f>
        <v>9.752483512957783</v>
      </c>
      <c r="AD15" s="92" t="s">
        <v>1786</v>
      </c>
      <c r="AE15" s="92"/>
      <c r="AF15" s="193"/>
    </row>
    <row r="16" spans="2:32" ht="13.5" thickBot="1">
      <c r="B16" s="9">
        <f>SUM(B2:B12)</f>
        <v>11155.364823348695</v>
      </c>
      <c r="C16" s="9"/>
      <c r="D16" s="9"/>
      <c r="E16" s="2"/>
      <c r="F16" s="2"/>
      <c r="G16" s="11" t="s">
        <v>1853</v>
      </c>
      <c r="M16" s="33" t="s">
        <v>1714</v>
      </c>
      <c r="X16" s="194"/>
      <c r="Y16" s="176"/>
      <c r="Z16" s="176"/>
      <c r="AA16" s="278">
        <f>100*AA13/B13</f>
        <v>0.934702809811292</v>
      </c>
      <c r="AB16" s="176" t="s">
        <v>1715</v>
      </c>
      <c r="AC16" s="176"/>
      <c r="AD16" s="176"/>
      <c r="AE16" s="176"/>
      <c r="AF16" s="195"/>
    </row>
    <row r="17" spans="2:14" ht="12.75">
      <c r="B17" s="93">
        <f>N21*H14</f>
        <v>8246</v>
      </c>
      <c r="C17" s="93"/>
      <c r="D17" s="93"/>
      <c r="E17" s="94"/>
      <c r="F17" s="94"/>
      <c r="G17" s="126" t="s">
        <v>1854</v>
      </c>
      <c r="I17" s="144">
        <f>X13/H14</f>
        <v>142.0293533372602</v>
      </c>
      <c r="J17" s="33" t="s">
        <v>1675</v>
      </c>
      <c r="N17" t="s">
        <v>602</v>
      </c>
    </row>
    <row r="18" spans="2:14" ht="12.75">
      <c r="B18" s="93">
        <f>SUM(B2:B12)-B17</f>
        <v>2909.3648233486947</v>
      </c>
      <c r="C18" s="93"/>
      <c r="D18" s="93"/>
      <c r="E18" s="93"/>
      <c r="F18" s="92"/>
      <c r="G18" s="92" t="s">
        <v>1855</v>
      </c>
      <c r="I18" s="109">
        <f>AB13/H14</f>
        <v>5.639097744360902</v>
      </c>
      <c r="J18" s="232" t="s">
        <v>939</v>
      </c>
      <c r="N18" s="6" t="s">
        <v>600</v>
      </c>
    </row>
    <row r="19" spans="2:14" ht="12.75">
      <c r="B19">
        <f>0.8*N21</f>
        <v>2480</v>
      </c>
      <c r="G19" s="150" t="s">
        <v>1856</v>
      </c>
      <c r="I19" s="161">
        <f>AC13/H14</f>
        <v>45.443822690366474</v>
      </c>
      <c r="J19" s="33" t="s">
        <v>1677</v>
      </c>
      <c r="N19" t="s">
        <v>601</v>
      </c>
    </row>
    <row r="20" spans="7:14" ht="12.75">
      <c r="G20" s="150"/>
      <c r="I20">
        <f>AA13/H14</f>
        <v>39.19906332651906</v>
      </c>
      <c r="J20" s="33" t="s">
        <v>940</v>
      </c>
      <c r="N20" s="27" t="s">
        <v>603</v>
      </c>
    </row>
    <row r="21" spans="2:31" ht="12.75">
      <c r="B21" s="29">
        <f>B19+B17</f>
        <v>10726</v>
      </c>
      <c r="D21" s="9"/>
      <c r="E21" s="9"/>
      <c r="F21" s="2"/>
      <c r="G21" s="11" t="s">
        <v>977</v>
      </c>
      <c r="H21" s="9"/>
      <c r="I21" s="143">
        <f>B16/H14</f>
        <v>4193.746174191238</v>
      </c>
      <c r="J21" t="s">
        <v>536</v>
      </c>
      <c r="L21" s="6"/>
      <c r="M21" s="6"/>
      <c r="N21" s="143">
        <v>3100</v>
      </c>
      <c r="O21" s="6" t="s">
        <v>1323</v>
      </c>
      <c r="P21" s="6"/>
      <c r="Q21" s="2"/>
      <c r="R21" s="16"/>
      <c r="S21" s="9"/>
      <c r="T21" s="29"/>
      <c r="U21" s="93"/>
      <c r="V21" s="92"/>
      <c r="W21" s="94"/>
      <c r="X21" s="92"/>
      <c r="Y21" s="92"/>
      <c r="Z21" s="93"/>
      <c r="AA21" s="93"/>
      <c r="AC21" s="2"/>
      <c r="AD21" s="173"/>
      <c r="AE21" s="9"/>
    </row>
    <row r="22" spans="2:31" ht="12.75">
      <c r="B22" s="9">
        <f>B13-B21</f>
        <v>429.3648233486947</v>
      </c>
      <c r="C22" s="9"/>
      <c r="D22" s="9"/>
      <c r="E22" s="9"/>
      <c r="F22" s="2"/>
      <c r="G22" s="11" t="s">
        <v>661</v>
      </c>
      <c r="H22" s="9"/>
      <c r="K22" s="10"/>
      <c r="L22" s="6"/>
      <c r="M22" s="6"/>
      <c r="N22" s="6"/>
      <c r="O22" s="6"/>
      <c r="P22" s="6"/>
      <c r="Q22" s="2"/>
      <c r="R22" s="16"/>
      <c r="S22" s="9"/>
      <c r="T22" s="42"/>
      <c r="U22" s="93"/>
      <c r="V22" s="93"/>
      <c r="W22" s="93"/>
      <c r="X22" s="94"/>
      <c r="Y22" s="126"/>
      <c r="Z22" s="93"/>
      <c r="AA22" s="93"/>
      <c r="AC22" s="2"/>
      <c r="AD22" s="8"/>
      <c r="AE22" s="9"/>
    </row>
    <row r="23" spans="2:31" ht="12.75">
      <c r="B23" s="290">
        <f>B22/B21</f>
        <v>0.04003028373566052</v>
      </c>
      <c r="D23" s="9"/>
      <c r="E23" s="9"/>
      <c r="F23" s="9"/>
      <c r="G23" s="11" t="s">
        <v>661</v>
      </c>
      <c r="H23" s="9"/>
      <c r="K23" s="10"/>
      <c r="L23" s="6"/>
      <c r="M23" s="6"/>
      <c r="N23" s="6"/>
      <c r="O23" s="6"/>
      <c r="P23" s="6"/>
      <c r="Q23" s="2"/>
      <c r="R23" s="16"/>
      <c r="S23" s="9"/>
      <c r="T23" s="16"/>
      <c r="U23" s="16"/>
      <c r="V23" s="42"/>
      <c r="W23" s="60"/>
      <c r="X23" s="9"/>
      <c r="Y23" s="9"/>
      <c r="Z23" s="9"/>
      <c r="AA23" s="9"/>
      <c r="AC23" s="2"/>
      <c r="AD23" s="9"/>
      <c r="AE23" s="9"/>
    </row>
    <row r="24" spans="2:7" ht="12.75">
      <c r="B24">
        <f>B22/Q12</f>
        <v>55.45962301587306</v>
      </c>
      <c r="G24" t="s">
        <v>660</v>
      </c>
    </row>
  </sheetData>
  <printOptions/>
  <pageMargins left="0.75" right="0.75" top="1" bottom="1" header="0.5" footer="0.5"/>
  <pageSetup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C156"/>
  <sheetViews>
    <sheetView workbookViewId="0" topLeftCell="A1">
      <pane ySplit="1" topLeftCell="BM12" activePane="bottomLeft" state="frozen"/>
      <selection pane="topLeft" activeCell="A1" sqref="A1"/>
      <selection pane="bottomLeft" activeCell="A34" sqref="A34:IV35"/>
    </sheetView>
  </sheetViews>
  <sheetFormatPr defaultColWidth="9.140625" defaultRowHeight="12.75"/>
  <cols>
    <col min="1" max="1" width="7.28125" style="0" bestFit="1" customWidth="1"/>
    <col min="2" max="2" width="6.00390625" style="0" bestFit="1" customWidth="1"/>
    <col min="3" max="3" width="7.28125" style="0" bestFit="1" customWidth="1"/>
    <col min="5" max="5" width="25.00390625" style="0" customWidth="1"/>
    <col min="6" max="6" width="4.421875" style="0" customWidth="1"/>
    <col min="7" max="7" width="3.8515625" style="0" customWidth="1"/>
    <col min="8" max="8" width="3.7109375" style="0" customWidth="1"/>
    <col min="9" max="9" width="4.28125" style="0" customWidth="1"/>
    <col min="10" max="10" width="4.00390625" style="0" customWidth="1"/>
    <col min="11" max="11" width="5.8515625" style="0" bestFit="1" customWidth="1"/>
    <col min="12" max="12" width="4.57421875" style="0" customWidth="1"/>
    <col min="13" max="13" width="3.7109375" style="0" customWidth="1"/>
    <col min="14" max="14" width="5.00390625" style="0" bestFit="1" customWidth="1"/>
    <col min="15" max="16" width="4.28125" style="0" customWidth="1"/>
    <col min="17" max="17" width="4.140625" style="0" customWidth="1"/>
    <col min="18" max="18" width="4.57421875" style="0" customWidth="1"/>
    <col min="19" max="19" width="3.8515625" style="0" customWidth="1"/>
    <col min="20" max="20" width="4.7109375" style="0" customWidth="1"/>
    <col min="21" max="21" width="3.7109375" style="0" customWidth="1"/>
    <col min="22" max="22" width="5.7109375" style="0" customWidth="1"/>
    <col min="23" max="23" width="4.7109375" style="0" customWidth="1"/>
    <col min="24" max="24" width="4.8515625" style="0" customWidth="1"/>
    <col min="25" max="25" width="3.28125" style="0" customWidth="1"/>
    <col min="26" max="26" width="4.28125" style="0" customWidth="1"/>
    <col min="27" max="27" width="5.28125" style="0" customWidth="1"/>
  </cols>
  <sheetData>
    <row r="1" spans="1:6" ht="12.75">
      <c r="A1" t="s">
        <v>697</v>
      </c>
      <c r="B1" t="s">
        <v>1603</v>
      </c>
      <c r="C1" t="s">
        <v>2074</v>
      </c>
      <c r="D1" t="s">
        <v>1242</v>
      </c>
      <c r="E1" s="12" t="s">
        <v>2075</v>
      </c>
      <c r="F1" s="12"/>
    </row>
    <row r="2" spans="1:2" ht="12.75">
      <c r="A2" s="12" t="s">
        <v>846</v>
      </c>
      <c r="B2" s="9"/>
    </row>
    <row r="3" spans="2:6" ht="12.75">
      <c r="B3" s="9">
        <v>814</v>
      </c>
      <c r="C3" s="2">
        <f>B3/28.349523</f>
        <v>28.713005153561138</v>
      </c>
      <c r="D3" s="2">
        <f>C3/16</f>
        <v>1.7945628220975711</v>
      </c>
      <c r="E3" t="s">
        <v>1704</v>
      </c>
      <c r="F3" s="3"/>
    </row>
    <row r="4" spans="2:9" ht="12.75">
      <c r="B4" s="9">
        <v>348</v>
      </c>
      <c r="C4" s="2">
        <f aca="true" t="shared" si="0" ref="C4:C12">B4/28.349523</f>
        <v>12.275338812578962</v>
      </c>
      <c r="D4" s="2">
        <f aca="true" t="shared" si="1" ref="D4:D9">C4/16</f>
        <v>0.7672086757861851</v>
      </c>
      <c r="E4" t="s">
        <v>1262</v>
      </c>
      <c r="I4" s="2"/>
    </row>
    <row r="5" spans="2:17" ht="12.75">
      <c r="B5" s="9">
        <v>1865</v>
      </c>
      <c r="C5" s="2">
        <f t="shared" si="0"/>
        <v>65.78593932603381</v>
      </c>
      <c r="D5" s="3">
        <f t="shared" si="1"/>
        <v>4.111621207877113</v>
      </c>
      <c r="E5" t="s">
        <v>705</v>
      </c>
      <c r="F5" s="3"/>
      <c r="J5" s="9"/>
      <c r="P5" s="3"/>
      <c r="Q5" s="3"/>
    </row>
    <row r="6" spans="2:5" ht="12.75">
      <c r="B6" s="9">
        <v>3</v>
      </c>
      <c r="C6" s="2">
        <f t="shared" si="0"/>
        <v>0.10582188631533589</v>
      </c>
      <c r="D6" s="2"/>
      <c r="E6" s="12" t="s">
        <v>1525</v>
      </c>
    </row>
    <row r="7" spans="2:5" ht="12.75">
      <c r="B7" s="9">
        <v>651</v>
      </c>
      <c r="C7" s="2">
        <f t="shared" si="0"/>
        <v>22.963349330427885</v>
      </c>
      <c r="D7" s="2">
        <f t="shared" si="1"/>
        <v>1.4352093331517428</v>
      </c>
      <c r="E7" s="12" t="s">
        <v>504</v>
      </c>
    </row>
    <row r="8" spans="2:9" ht="12.75">
      <c r="B8" s="9">
        <v>189</v>
      </c>
      <c r="C8" s="2">
        <f t="shared" si="0"/>
        <v>6.66677883786616</v>
      </c>
      <c r="D8" s="2">
        <f t="shared" si="1"/>
        <v>0.416673677366635</v>
      </c>
      <c r="E8" s="12" t="s">
        <v>760</v>
      </c>
      <c r="I8" s="2"/>
    </row>
    <row r="9" spans="2:5" ht="12.75">
      <c r="B9" s="9">
        <v>103</v>
      </c>
      <c r="C9" s="2">
        <f t="shared" si="0"/>
        <v>3.633218096826532</v>
      </c>
      <c r="D9" s="2">
        <f t="shared" si="1"/>
        <v>0.22707613105165825</v>
      </c>
      <c r="E9" s="4" t="s">
        <v>2112</v>
      </c>
    </row>
    <row r="10" spans="2:5" ht="12.75">
      <c r="B10" s="9">
        <v>25</v>
      </c>
      <c r="C10" s="2">
        <f t="shared" si="0"/>
        <v>0.881849052627799</v>
      </c>
      <c r="D10" s="3"/>
      <c r="E10" s="12" t="s">
        <v>414</v>
      </c>
    </row>
    <row r="11" spans="2:5" ht="12.75">
      <c r="B11" s="9">
        <v>27</v>
      </c>
      <c r="C11" s="2">
        <f t="shared" si="0"/>
        <v>0.9523969768380229</v>
      </c>
      <c r="D11" s="2"/>
      <c r="E11" s="12" t="s">
        <v>418</v>
      </c>
    </row>
    <row r="12" spans="2:5" ht="12.75">
      <c r="B12" s="9">
        <v>16</v>
      </c>
      <c r="C12" s="2">
        <f t="shared" si="0"/>
        <v>0.5643833936817914</v>
      </c>
      <c r="D12" s="2" t="s">
        <v>152</v>
      </c>
      <c r="E12" s="12" t="s">
        <v>1827</v>
      </c>
    </row>
    <row r="13" spans="2:5" ht="12.75">
      <c r="B13" s="16">
        <v>32</v>
      </c>
      <c r="C13" s="2">
        <f>B13/28.349523</f>
        <v>1.1287667873635827</v>
      </c>
      <c r="D13" s="2"/>
      <c r="E13" s="4" t="s">
        <v>222</v>
      </c>
    </row>
    <row r="14" spans="2:5" ht="12.75">
      <c r="B14" s="9">
        <v>229</v>
      </c>
      <c r="C14" s="2">
        <f>B14/28.349523</f>
        <v>8.07773732207064</v>
      </c>
      <c r="D14" s="2">
        <f>C14/16</f>
        <v>0.504858582629415</v>
      </c>
      <c r="E14" t="s">
        <v>56</v>
      </c>
    </row>
    <row r="15" spans="2:5" ht="12.75">
      <c r="B15" s="9">
        <v>35</v>
      </c>
      <c r="C15" s="2">
        <f>B15/28.349523</f>
        <v>1.2345886736789187</v>
      </c>
      <c r="D15" s="2"/>
      <c r="E15" t="s">
        <v>284</v>
      </c>
    </row>
    <row r="16" spans="2:5" ht="12.75">
      <c r="B16" s="9">
        <v>35</v>
      </c>
      <c r="C16" s="2"/>
      <c r="D16" s="2"/>
      <c r="E16" s="12" t="s">
        <v>320</v>
      </c>
    </row>
    <row r="17" spans="2:5" ht="12.75">
      <c r="B17" s="9">
        <v>55</v>
      </c>
      <c r="C17" s="2"/>
      <c r="D17" s="2"/>
      <c r="E17" s="12" t="s">
        <v>1033</v>
      </c>
    </row>
    <row r="18" spans="2:5" ht="12.75">
      <c r="B18" s="9">
        <v>10</v>
      </c>
      <c r="C18" s="2"/>
      <c r="D18" s="2"/>
      <c r="E18" s="12" t="s">
        <v>1730</v>
      </c>
    </row>
    <row r="19" spans="2:5" ht="12.75">
      <c r="B19" s="9">
        <v>30</v>
      </c>
      <c r="C19" s="2"/>
      <c r="D19" s="2"/>
      <c r="E19" s="12" t="s">
        <v>698</v>
      </c>
    </row>
    <row r="20" spans="2:5" ht="12.75">
      <c r="B20" s="9">
        <v>121</v>
      </c>
      <c r="C20" s="2">
        <f aca="true" t="shared" si="2" ref="C20:C28">B20/28.349523</f>
        <v>4.268149414718548</v>
      </c>
      <c r="D20" s="2">
        <f>C20/16</f>
        <v>0.26675933841990923</v>
      </c>
      <c r="E20" s="12" t="s">
        <v>761</v>
      </c>
    </row>
    <row r="21" spans="2:16" ht="12.75" customHeight="1">
      <c r="B21" s="9">
        <v>21</v>
      </c>
      <c r="C21" s="2">
        <f t="shared" si="2"/>
        <v>0.7407532042073511</v>
      </c>
      <c r="D21" s="2"/>
      <c r="E21" s="4" t="s">
        <v>85</v>
      </c>
      <c r="P21" s="31"/>
    </row>
    <row r="22" spans="2:5" ht="12" customHeight="1">
      <c r="B22" s="9">
        <v>86</v>
      </c>
      <c r="C22" s="2">
        <f t="shared" si="2"/>
        <v>3.033560741039629</v>
      </c>
      <c r="D22" s="2">
        <f>C22/16</f>
        <v>0.1895975463149768</v>
      </c>
      <c r="E22" s="4" t="s">
        <v>1738</v>
      </c>
    </row>
    <row r="23" spans="2:16" ht="12.75" customHeight="1">
      <c r="B23" s="9">
        <v>28</v>
      </c>
      <c r="C23" s="2">
        <f t="shared" si="2"/>
        <v>0.987670938943135</v>
      </c>
      <c r="D23" s="2"/>
      <c r="E23" s="4" t="s">
        <v>413</v>
      </c>
      <c r="P23" s="31"/>
    </row>
    <row r="24" spans="2:5" ht="12.75">
      <c r="B24" s="9">
        <v>15</v>
      </c>
      <c r="C24" s="2">
        <f t="shared" si="2"/>
        <v>0.5291094315766794</v>
      </c>
      <c r="D24" s="2"/>
      <c r="E24" s="11" t="s">
        <v>1063</v>
      </c>
    </row>
    <row r="25" spans="2:5" ht="12.75">
      <c r="B25" s="9">
        <v>6</v>
      </c>
      <c r="C25" s="2">
        <f t="shared" si="2"/>
        <v>0.21164377263067177</v>
      </c>
      <c r="D25" s="2"/>
      <c r="E25" s="12" t="s">
        <v>2144</v>
      </c>
    </row>
    <row r="26" spans="2:5" ht="12.75">
      <c r="B26" s="9">
        <v>23</v>
      </c>
      <c r="C26" s="2">
        <f t="shared" si="2"/>
        <v>0.8113011284175751</v>
      </c>
      <c r="D26" s="2"/>
      <c r="E26" s="12" t="s">
        <v>499</v>
      </c>
    </row>
    <row r="27" spans="2:5" ht="12.75">
      <c r="B27" s="9">
        <v>16</v>
      </c>
      <c r="C27" s="2">
        <f t="shared" si="2"/>
        <v>0.5643833936817914</v>
      </c>
      <c r="D27" s="2"/>
      <c r="E27" s="12" t="s">
        <v>409</v>
      </c>
    </row>
    <row r="28" spans="2:5" ht="12.75">
      <c r="B28" s="9">
        <v>10</v>
      </c>
      <c r="C28" s="2">
        <f t="shared" si="2"/>
        <v>0.3527396210511196</v>
      </c>
      <c r="D28" s="2"/>
      <c r="E28" s="12" t="s">
        <v>410</v>
      </c>
    </row>
    <row r="29" spans="2:5" ht="12.75">
      <c r="B29" s="9">
        <v>12</v>
      </c>
      <c r="C29" s="2"/>
      <c r="D29" s="2"/>
      <c r="E29" s="12" t="s">
        <v>500</v>
      </c>
    </row>
    <row r="30" spans="2:6" ht="12.75">
      <c r="B30" s="9">
        <v>13</v>
      </c>
      <c r="C30" s="2"/>
      <c r="D30" s="2"/>
      <c r="E30" s="11" t="s">
        <v>412</v>
      </c>
      <c r="F30" s="3"/>
    </row>
    <row r="31" spans="2:5" ht="12.75">
      <c r="B31" s="9">
        <v>12</v>
      </c>
      <c r="C31" s="2"/>
      <c r="D31" s="2"/>
      <c r="E31" s="11" t="s">
        <v>41</v>
      </c>
    </row>
    <row r="32" spans="2:5" ht="12.75">
      <c r="B32" s="16">
        <v>52</v>
      </c>
      <c r="C32" s="2">
        <f aca="true" t="shared" si="3" ref="C32:C40">B32/28.349523</f>
        <v>1.834246029465822</v>
      </c>
      <c r="D32" s="2"/>
      <c r="E32" s="4" t="s">
        <v>4</v>
      </c>
    </row>
    <row r="33" spans="2:5" ht="12.75">
      <c r="B33" s="9">
        <v>10</v>
      </c>
      <c r="C33" s="2">
        <f t="shared" si="3"/>
        <v>0.3527396210511196</v>
      </c>
      <c r="D33" s="2"/>
      <c r="E33" s="11" t="s">
        <v>1431</v>
      </c>
    </row>
    <row r="34" spans="2:5" ht="12.75">
      <c r="B34" s="9">
        <v>284</v>
      </c>
      <c r="C34" s="2">
        <f t="shared" si="3"/>
        <v>10.017805237851796</v>
      </c>
      <c r="D34" s="2">
        <f>C34/16</f>
        <v>0.6261128273657373</v>
      </c>
      <c r="E34" s="11" t="s">
        <v>421</v>
      </c>
    </row>
    <row r="35" spans="2:7" ht="12.75">
      <c r="B35" s="9">
        <v>200</v>
      </c>
      <c r="C35" s="2">
        <f t="shared" si="3"/>
        <v>7.054792421022392</v>
      </c>
      <c r="D35" s="2">
        <f>C35/16</f>
        <v>0.4409245263138995</v>
      </c>
      <c r="E35" s="11" t="s">
        <v>501</v>
      </c>
      <c r="F35" s="2">
        <f>D34+D35</f>
        <v>1.0670373536796367</v>
      </c>
      <c r="G35" t="s">
        <v>873</v>
      </c>
    </row>
    <row r="36" spans="2:9" ht="15">
      <c r="B36" s="9">
        <v>61</v>
      </c>
      <c r="C36" s="2">
        <f t="shared" si="3"/>
        <v>2.1517116884118295</v>
      </c>
      <c r="D36" s="2"/>
      <c r="E36" s="11" t="s">
        <v>411</v>
      </c>
      <c r="I36" s="31"/>
    </row>
    <row r="37" spans="2:9" ht="15">
      <c r="B37" s="9">
        <v>26</v>
      </c>
      <c r="C37" s="2">
        <f t="shared" si="3"/>
        <v>0.917123014732911</v>
      </c>
      <c r="D37" s="2"/>
      <c r="E37" s="11" t="s">
        <v>415</v>
      </c>
      <c r="I37" s="31"/>
    </row>
    <row r="38" spans="2:9" ht="15">
      <c r="B38" s="9">
        <v>31</v>
      </c>
      <c r="C38" s="2">
        <f t="shared" si="3"/>
        <v>1.0934928252584708</v>
      </c>
      <c r="D38" s="2"/>
      <c r="E38" s="11" t="s">
        <v>2053</v>
      </c>
      <c r="I38" s="31"/>
    </row>
    <row r="39" spans="2:9" ht="15">
      <c r="B39" s="9">
        <v>64</v>
      </c>
      <c r="C39" s="2">
        <f t="shared" si="3"/>
        <v>2.2575335747271654</v>
      </c>
      <c r="D39" s="2"/>
      <c r="E39" s="11" t="s">
        <v>573</v>
      </c>
      <c r="I39" s="31"/>
    </row>
    <row r="40" spans="2:23" ht="15">
      <c r="B40" s="9">
        <v>8</v>
      </c>
      <c r="C40" s="2">
        <f t="shared" si="3"/>
        <v>0.2821916968408957</v>
      </c>
      <c r="D40" s="2"/>
      <c r="E40" s="11" t="s">
        <v>874</v>
      </c>
      <c r="I40" s="31"/>
      <c r="K40" s="92"/>
      <c r="L40" s="92"/>
      <c r="M40" s="92"/>
      <c r="N40" s="92"/>
      <c r="O40" s="92"/>
      <c r="P40" s="92"/>
      <c r="Q40" s="92"/>
      <c r="R40" s="92"/>
      <c r="S40" s="92"/>
      <c r="T40" s="92"/>
      <c r="U40" s="92"/>
      <c r="V40" s="92"/>
      <c r="W40" s="92"/>
    </row>
    <row r="41" spans="2:23" ht="15">
      <c r="B41" s="124"/>
      <c r="E41" s="123" t="s">
        <v>419</v>
      </c>
      <c r="K41" s="92"/>
      <c r="L41" s="92"/>
      <c r="M41" s="92"/>
      <c r="N41" s="93"/>
      <c r="O41" s="126"/>
      <c r="P41" s="92"/>
      <c r="Q41" s="92"/>
      <c r="R41" s="92"/>
      <c r="S41" s="133"/>
      <c r="T41" s="92"/>
      <c r="U41" s="92"/>
      <c r="V41" s="92"/>
      <c r="W41" s="92"/>
    </row>
    <row r="42" spans="2:23" ht="12.75">
      <c r="B42" s="9">
        <v>129</v>
      </c>
      <c r="C42" s="2">
        <f>B42/28.349523</f>
        <v>4.550341111559443</v>
      </c>
      <c r="D42" s="2">
        <f>C42/16</f>
        <v>0.2843963194724652</v>
      </c>
      <c r="E42" s="11" t="s">
        <v>417</v>
      </c>
      <c r="K42" s="92"/>
      <c r="L42" s="92"/>
      <c r="M42" s="92"/>
      <c r="N42" s="93"/>
      <c r="O42" s="92"/>
      <c r="P42" s="92"/>
      <c r="Q42" s="92"/>
      <c r="R42" s="92"/>
      <c r="S42" s="92"/>
      <c r="T42" s="92"/>
      <c r="U42" s="92"/>
      <c r="V42" s="92"/>
      <c r="W42" s="92"/>
    </row>
    <row r="43" spans="2:23" ht="12.75">
      <c r="B43" s="9">
        <v>634</v>
      </c>
      <c r="C43" s="2">
        <f>B43/28.349523</f>
        <v>22.363691974640982</v>
      </c>
      <c r="D43" s="2">
        <f>C43/16</f>
        <v>1.3977307484150614</v>
      </c>
      <c r="E43" t="s">
        <v>148</v>
      </c>
      <c r="K43" s="92"/>
      <c r="L43" s="92"/>
      <c r="M43" s="92"/>
      <c r="N43" s="93"/>
      <c r="O43" s="126"/>
      <c r="P43" s="134"/>
      <c r="Q43" s="92"/>
      <c r="R43" s="92"/>
      <c r="S43" s="92"/>
      <c r="T43" s="92"/>
      <c r="U43" s="92"/>
      <c r="V43" s="92"/>
      <c r="W43" s="92"/>
    </row>
    <row r="44" spans="2:23" ht="12.75">
      <c r="B44" s="9">
        <v>408</v>
      </c>
      <c r="C44" s="2">
        <v>14.39177653888568</v>
      </c>
      <c r="D44" s="2">
        <v>0.899486033680355</v>
      </c>
      <c r="E44" s="11" t="s">
        <v>146</v>
      </c>
      <c r="F44" s="3"/>
      <c r="K44" s="92"/>
      <c r="L44" s="92"/>
      <c r="M44" s="92"/>
      <c r="N44" s="93"/>
      <c r="O44" s="126"/>
      <c r="P44" s="134"/>
      <c r="Q44" s="92"/>
      <c r="R44" s="92"/>
      <c r="S44" s="92"/>
      <c r="T44" s="92"/>
      <c r="U44" s="92"/>
      <c r="V44" s="92"/>
      <c r="W44" s="92"/>
    </row>
    <row r="45" spans="2:23" ht="12.75">
      <c r="B45" s="9">
        <v>44</v>
      </c>
      <c r="C45" s="2">
        <v>1.5520543326249263</v>
      </c>
      <c r="D45" s="2"/>
      <c r="E45" s="11" t="s">
        <v>147</v>
      </c>
      <c r="F45" s="3"/>
      <c r="K45" s="92"/>
      <c r="L45" s="92"/>
      <c r="M45" s="92"/>
      <c r="N45" s="135"/>
      <c r="O45" s="136"/>
      <c r="P45" s="92"/>
      <c r="Q45" s="92"/>
      <c r="R45" s="92"/>
      <c r="S45" s="92"/>
      <c r="T45" s="92"/>
      <c r="U45" s="92"/>
      <c r="V45" s="92"/>
      <c r="W45" s="92"/>
    </row>
    <row r="46" spans="2:23" ht="12.75">
      <c r="B46" s="16">
        <v>154</v>
      </c>
      <c r="C46" s="2">
        <f>B46/28.349523</f>
        <v>5.432190164187242</v>
      </c>
      <c r="D46" s="2">
        <f>C46/16</f>
        <v>0.3395118852617026</v>
      </c>
      <c r="E46" s="27" t="s">
        <v>1040</v>
      </c>
      <c r="K46" s="92"/>
      <c r="L46" s="92"/>
      <c r="M46" s="92"/>
      <c r="N46" s="137"/>
      <c r="O46" s="138"/>
      <c r="P46" s="134"/>
      <c r="Q46" s="92"/>
      <c r="R46" s="92"/>
      <c r="S46" s="92"/>
      <c r="T46" s="92"/>
      <c r="U46" s="92"/>
      <c r="V46" s="92"/>
      <c r="W46" s="92"/>
    </row>
    <row r="47" spans="2:23" ht="12.75">
      <c r="B47" s="16">
        <v>917</v>
      </c>
      <c r="C47" s="2">
        <f>B47/28.349523</f>
        <v>32.346223250387666</v>
      </c>
      <c r="D47" s="2">
        <f>C47/16</f>
        <v>2.021638953149229</v>
      </c>
      <c r="E47" s="27" t="s">
        <v>762</v>
      </c>
      <c r="K47" s="92"/>
      <c r="L47" s="92"/>
      <c r="M47" s="92"/>
      <c r="N47" s="137"/>
      <c r="O47" s="138"/>
      <c r="P47" s="134"/>
      <c r="Q47" s="92"/>
      <c r="R47" s="92"/>
      <c r="S47" s="92"/>
      <c r="T47" s="92"/>
      <c r="U47" s="92"/>
      <c r="V47" s="92"/>
      <c r="W47" s="92"/>
    </row>
    <row r="48" spans="2:23" ht="12.75">
      <c r="B48" s="22">
        <v>246</v>
      </c>
      <c r="C48" s="2">
        <f aca="true" t="shared" si="4" ref="C48:C53">B48/28.349523</f>
        <v>8.677394677857542</v>
      </c>
      <c r="D48" s="2">
        <f>C48/16</f>
        <v>0.5423371673660964</v>
      </c>
      <c r="E48" s="12" t="s">
        <v>1055</v>
      </c>
      <c r="F48" s="3"/>
      <c r="K48" s="92"/>
      <c r="L48" s="92"/>
      <c r="M48" s="92"/>
      <c r="N48" s="137"/>
      <c r="O48" s="138"/>
      <c r="P48" s="134"/>
      <c r="Q48" s="92"/>
      <c r="R48" s="92"/>
      <c r="S48" s="92"/>
      <c r="T48" s="92"/>
      <c r="U48" s="92"/>
      <c r="V48" s="92"/>
      <c r="W48" s="92"/>
    </row>
    <row r="49" spans="2:23" ht="12.75">
      <c r="B49" s="22">
        <v>233</v>
      </c>
      <c r="C49" s="2">
        <f t="shared" si="4"/>
        <v>8.218833170491086</v>
      </c>
      <c r="D49" s="2">
        <f>C49/16</f>
        <v>0.5136770731556929</v>
      </c>
      <c r="E49" s="12" t="s">
        <v>1054</v>
      </c>
      <c r="F49" s="3"/>
      <c r="K49" s="92"/>
      <c r="L49" s="92"/>
      <c r="M49" s="92"/>
      <c r="N49" s="135"/>
      <c r="O49" s="139"/>
      <c r="P49" s="134"/>
      <c r="Q49" s="92"/>
      <c r="R49" s="92"/>
      <c r="S49" s="92"/>
      <c r="T49" s="92"/>
      <c r="U49" s="92"/>
      <c r="V49" s="92"/>
      <c r="W49" s="92"/>
    </row>
    <row r="50" spans="2:23" ht="12.75">
      <c r="B50" s="22">
        <v>35</v>
      </c>
      <c r="C50" s="2">
        <f t="shared" si="4"/>
        <v>1.2345886736789187</v>
      </c>
      <c r="D50" s="2"/>
      <c r="E50" s="12" t="s">
        <v>770</v>
      </c>
      <c r="F50" s="3"/>
      <c r="K50" s="92"/>
      <c r="L50" s="92"/>
      <c r="M50" s="92"/>
      <c r="N50" s="135"/>
      <c r="O50" s="139"/>
      <c r="P50" s="92"/>
      <c r="Q50" s="92"/>
      <c r="R50" s="92"/>
      <c r="S50" s="92"/>
      <c r="T50" s="92"/>
      <c r="U50" s="92"/>
      <c r="V50" s="92"/>
      <c r="W50" s="92"/>
    </row>
    <row r="51" spans="1:26" ht="12.75">
      <c r="A51" s="7"/>
      <c r="B51" s="16">
        <v>158</v>
      </c>
      <c r="C51" s="2">
        <f t="shared" si="4"/>
        <v>5.5732860126076895</v>
      </c>
      <c r="D51" s="2">
        <f>C51/16</f>
        <v>0.3483303757879806</v>
      </c>
      <c r="E51" s="4" t="s">
        <v>1051</v>
      </c>
      <c r="F51" s="3"/>
      <c r="K51" s="92"/>
      <c r="L51" s="92"/>
      <c r="M51" s="94"/>
      <c r="N51" s="135"/>
      <c r="O51" s="140"/>
      <c r="P51" s="92"/>
      <c r="Q51" s="92"/>
      <c r="R51" s="92"/>
      <c r="S51" s="92"/>
      <c r="T51" s="92"/>
      <c r="U51" s="92"/>
      <c r="V51" s="92"/>
      <c r="W51" s="92"/>
      <c r="Z51" s="52"/>
    </row>
    <row r="52" spans="2:23" ht="12.75">
      <c r="B52" s="16">
        <v>565</v>
      </c>
      <c r="C52" s="2">
        <f t="shared" si="4"/>
        <v>19.92978858938826</v>
      </c>
      <c r="D52" s="2">
        <f>C52/16</f>
        <v>1.2456117868367662</v>
      </c>
      <c r="E52" s="4" t="s">
        <v>1886</v>
      </c>
      <c r="K52" s="92"/>
      <c r="L52" s="92"/>
      <c r="M52" s="92"/>
      <c r="N52" s="135"/>
      <c r="O52" s="126"/>
      <c r="P52" s="92"/>
      <c r="Q52" s="92"/>
      <c r="R52" s="92"/>
      <c r="S52" s="92"/>
      <c r="T52" s="92"/>
      <c r="U52" s="92"/>
      <c r="V52" s="92"/>
      <c r="W52" s="92"/>
    </row>
    <row r="53" spans="2:23" ht="12.75">
      <c r="B53" s="16">
        <v>10</v>
      </c>
      <c r="C53" s="2">
        <f t="shared" si="4"/>
        <v>0.3527396210511196</v>
      </c>
      <c r="D53" s="2" t="s">
        <v>152</v>
      </c>
      <c r="E53" s="13" t="s">
        <v>1709</v>
      </c>
      <c r="K53" s="92"/>
      <c r="L53" s="92"/>
      <c r="M53" s="92"/>
      <c r="N53" s="93"/>
      <c r="O53" s="138"/>
      <c r="P53" s="92"/>
      <c r="Q53" s="92"/>
      <c r="R53" s="92"/>
      <c r="S53" s="92"/>
      <c r="T53" s="92"/>
      <c r="U53" s="92"/>
      <c r="V53" s="92"/>
      <c r="W53" s="92"/>
    </row>
    <row r="54" spans="2:23" ht="12.75">
      <c r="B54" s="16">
        <v>56</v>
      </c>
      <c r="C54" s="2"/>
      <c r="D54" s="2"/>
      <c r="E54" s="11" t="s">
        <v>1068</v>
      </c>
      <c r="K54" s="92"/>
      <c r="L54" s="92"/>
      <c r="M54" s="92"/>
      <c r="N54" s="135"/>
      <c r="O54" s="139"/>
      <c r="P54" s="92"/>
      <c r="Q54" s="92"/>
      <c r="R54" s="92"/>
      <c r="S54" s="92"/>
      <c r="T54" s="92"/>
      <c r="U54" s="92"/>
      <c r="V54" s="92"/>
      <c r="W54" s="92"/>
    </row>
    <row r="55" spans="2:23" ht="12.75">
      <c r="B55" s="9">
        <v>3</v>
      </c>
      <c r="C55" s="2"/>
      <c r="D55" s="2"/>
      <c r="E55" s="12" t="s">
        <v>151</v>
      </c>
      <c r="K55" s="92"/>
      <c r="L55" s="92"/>
      <c r="M55" s="92"/>
      <c r="N55" s="92"/>
      <c r="O55" s="140"/>
      <c r="P55" s="92"/>
      <c r="Q55" s="92"/>
      <c r="R55" s="92"/>
      <c r="S55" s="92"/>
      <c r="T55" s="92"/>
      <c r="U55" s="92"/>
      <c r="V55" s="92"/>
      <c r="W55" s="92"/>
    </row>
    <row r="56" spans="2:23" ht="12.75">
      <c r="B56" s="16">
        <v>153</v>
      </c>
      <c r="C56" s="2">
        <f aca="true" t="shared" si="5" ref="C56:C62">B56/28.349523</f>
        <v>5.39691620208213</v>
      </c>
      <c r="D56" s="2">
        <f>C56/16</f>
        <v>0.3373072626301331</v>
      </c>
      <c r="E56" s="4" t="s">
        <v>1056</v>
      </c>
      <c r="K56" s="92"/>
      <c r="L56" s="92"/>
      <c r="M56" s="92"/>
      <c r="N56" s="135"/>
      <c r="O56" s="139"/>
      <c r="P56" s="92"/>
      <c r="Q56" s="92"/>
      <c r="R56" s="92"/>
      <c r="S56" s="92"/>
      <c r="T56" s="92"/>
      <c r="U56" s="92"/>
      <c r="V56" s="92"/>
      <c r="W56" s="92"/>
    </row>
    <row r="57" spans="2:23" ht="12.75">
      <c r="B57">
        <v>28</v>
      </c>
      <c r="C57" s="2">
        <f t="shared" si="5"/>
        <v>0.987670938943135</v>
      </c>
      <c r="D57" s="3"/>
      <c r="E57" s="13" t="s">
        <v>776</v>
      </c>
      <c r="K57" s="92"/>
      <c r="L57" s="92"/>
      <c r="M57" s="92"/>
      <c r="N57" s="93"/>
      <c r="O57" s="126"/>
      <c r="P57" s="92"/>
      <c r="Q57" s="92"/>
      <c r="R57" s="92"/>
      <c r="S57" s="92"/>
      <c r="T57" s="92"/>
      <c r="U57" s="92"/>
      <c r="V57" s="92"/>
      <c r="W57" s="92"/>
    </row>
    <row r="58" spans="2:23" ht="12.75">
      <c r="B58" s="16">
        <v>31</v>
      </c>
      <c r="C58" s="2">
        <f t="shared" si="5"/>
        <v>1.0934928252584708</v>
      </c>
      <c r="D58" s="3"/>
      <c r="E58" s="4" t="s">
        <v>149</v>
      </c>
      <c r="K58" s="92"/>
      <c r="L58" s="92"/>
      <c r="M58" s="92"/>
      <c r="N58" s="92"/>
      <c r="O58" s="140"/>
      <c r="P58" s="92"/>
      <c r="Q58" s="92"/>
      <c r="R58" s="92"/>
      <c r="S58" s="92"/>
      <c r="T58" s="92"/>
      <c r="U58" s="92"/>
      <c r="V58" s="92"/>
      <c r="W58" s="92"/>
    </row>
    <row r="59" spans="2:23" ht="12.75">
      <c r="B59" s="9">
        <v>10</v>
      </c>
      <c r="C59" s="2">
        <f t="shared" si="5"/>
        <v>0.3527396210511196</v>
      </c>
      <c r="D59" s="3"/>
      <c r="E59" s="11" t="s">
        <v>150</v>
      </c>
      <c r="K59" s="92"/>
      <c r="L59" s="92"/>
      <c r="M59" s="92"/>
      <c r="N59" s="93"/>
      <c r="O59" s="92"/>
      <c r="P59" s="134"/>
      <c r="Q59" s="92"/>
      <c r="R59" s="92"/>
      <c r="S59" s="92"/>
      <c r="T59" s="92"/>
      <c r="U59" s="92"/>
      <c r="V59" s="92"/>
      <c r="W59" s="92"/>
    </row>
    <row r="60" spans="2:23" ht="12.75">
      <c r="B60">
        <f>187+37</f>
        <v>224</v>
      </c>
      <c r="C60" s="2">
        <f t="shared" si="5"/>
        <v>7.90136751154508</v>
      </c>
      <c r="D60" s="3">
        <f>C60/16</f>
        <v>0.4938354694715675</v>
      </c>
      <c r="E60" s="13" t="s">
        <v>781</v>
      </c>
      <c r="K60" s="92"/>
      <c r="L60" s="92"/>
      <c r="M60" s="92"/>
      <c r="N60" s="93"/>
      <c r="O60" s="92"/>
      <c r="P60" s="92"/>
      <c r="Q60" s="92"/>
      <c r="R60" s="92"/>
      <c r="S60" s="92"/>
      <c r="T60" s="92"/>
      <c r="U60" s="92"/>
      <c r="V60" s="92"/>
      <c r="W60" s="92"/>
    </row>
    <row r="61" spans="2:23" ht="12.75">
      <c r="B61" s="9">
        <v>266</v>
      </c>
      <c r="C61" s="2">
        <f t="shared" si="5"/>
        <v>9.382873919959781</v>
      </c>
      <c r="D61" s="2">
        <f>C61/16</f>
        <v>0.5864296199974863</v>
      </c>
      <c r="E61" t="s">
        <v>1052</v>
      </c>
      <c r="F61" s="3"/>
      <c r="K61" s="92"/>
      <c r="L61" s="92"/>
      <c r="M61" s="92"/>
      <c r="N61" s="93"/>
      <c r="O61" s="138"/>
      <c r="P61" s="92"/>
      <c r="Q61" s="92"/>
      <c r="R61" s="93"/>
      <c r="S61" s="92"/>
      <c r="T61" s="92"/>
      <c r="U61" s="92"/>
      <c r="V61" s="92"/>
      <c r="W61" s="92"/>
    </row>
    <row r="62" spans="2:23" ht="12.75" customHeight="1">
      <c r="B62" s="9">
        <v>66</v>
      </c>
      <c r="C62" s="2">
        <f t="shared" si="5"/>
        <v>2.3280814989373892</v>
      </c>
      <c r="D62" s="2"/>
      <c r="E62" t="s">
        <v>682</v>
      </c>
      <c r="I62" s="31"/>
      <c r="K62" s="92"/>
      <c r="L62" s="92"/>
      <c r="M62" s="92"/>
      <c r="N62" s="92"/>
      <c r="O62" s="92"/>
      <c r="P62" s="92"/>
      <c r="Q62" s="92"/>
      <c r="R62" s="92"/>
      <c r="S62" s="92"/>
      <c r="T62" s="92"/>
      <c r="U62" s="92"/>
      <c r="V62" s="92"/>
      <c r="W62" s="92"/>
    </row>
    <row r="63" spans="2:23" ht="12.75">
      <c r="B63" s="9">
        <f>224+1391</f>
        <v>1615</v>
      </c>
      <c r="C63" s="2">
        <f>B63/28.349523</f>
        <v>56.967448799755815</v>
      </c>
      <c r="D63" s="2">
        <f>C63/16</f>
        <v>3.5604655499847384</v>
      </c>
      <c r="E63" s="12" t="s">
        <v>869</v>
      </c>
      <c r="K63" s="93"/>
      <c r="L63" s="92"/>
      <c r="M63" s="92"/>
      <c r="N63" s="92"/>
      <c r="O63" s="92"/>
      <c r="P63" s="92"/>
      <c r="Q63" s="92"/>
      <c r="R63" s="92"/>
      <c r="S63" s="92"/>
      <c r="T63" s="92"/>
      <c r="U63" s="92"/>
      <c r="V63" s="92"/>
      <c r="W63" s="92"/>
    </row>
    <row r="64" spans="2:23" ht="12.75">
      <c r="B64" s="9">
        <f>SUM(B3:B63)</f>
        <v>11551</v>
      </c>
      <c r="C64" s="2">
        <f>B64/28.349523</f>
        <v>407.44953627614825</v>
      </c>
      <c r="D64" s="2">
        <f>C64/16</f>
        <v>25.465596017259266</v>
      </c>
      <c r="E64" s="13" t="s">
        <v>153</v>
      </c>
      <c r="K64" s="92"/>
      <c r="L64" s="92"/>
      <c r="M64" s="92"/>
      <c r="N64" s="93"/>
      <c r="O64" s="126"/>
      <c r="P64" s="92"/>
      <c r="Q64" s="92"/>
      <c r="R64" s="92"/>
      <c r="S64" s="92"/>
      <c r="T64" s="92"/>
      <c r="U64" s="92"/>
      <c r="V64" s="92"/>
      <c r="W64" s="92"/>
    </row>
    <row r="65" spans="3:23" ht="12.75">
      <c r="C65" s="2"/>
      <c r="D65" s="3"/>
      <c r="E65" s="13"/>
      <c r="K65" s="92"/>
      <c r="L65" s="92"/>
      <c r="M65" s="92"/>
      <c r="N65" s="92"/>
      <c r="O65" s="92"/>
      <c r="P65" s="92"/>
      <c r="Q65" s="92"/>
      <c r="R65" s="92"/>
      <c r="S65" s="92"/>
      <c r="T65" s="92"/>
      <c r="U65" s="92"/>
      <c r="V65" s="92"/>
      <c r="W65" s="92"/>
    </row>
    <row r="66" spans="2:23" ht="12.75">
      <c r="B66" s="124"/>
      <c r="C66" s="2"/>
      <c r="D66" s="2"/>
      <c r="E66" s="123" t="s">
        <v>420</v>
      </c>
      <c r="K66" s="92"/>
      <c r="L66" s="92"/>
      <c r="M66" s="92"/>
      <c r="N66" s="92"/>
      <c r="O66" s="92"/>
      <c r="P66" s="92"/>
      <c r="Q66" s="92"/>
      <c r="R66" s="92"/>
      <c r="S66" s="92"/>
      <c r="T66" s="92"/>
      <c r="U66" s="92"/>
      <c r="V66" s="92"/>
      <c r="W66" s="92"/>
    </row>
    <row r="67" spans="2:23" ht="12.75">
      <c r="B67" s="9">
        <v>233</v>
      </c>
      <c r="C67" s="2">
        <f aca="true" t="shared" si="6" ref="C67:C79">B67/28.349523</f>
        <v>8.218833170491086</v>
      </c>
      <c r="D67" s="2">
        <f aca="true" t="shared" si="7" ref="D67:D76">C67/16</f>
        <v>0.5136770731556929</v>
      </c>
      <c r="E67" s="4" t="s">
        <v>1433</v>
      </c>
      <c r="K67" s="92"/>
      <c r="L67" s="92"/>
      <c r="M67" s="92"/>
      <c r="N67" s="92"/>
      <c r="O67" s="92"/>
      <c r="P67" s="92"/>
      <c r="Q67" s="92"/>
      <c r="R67" s="92"/>
      <c r="S67" s="92"/>
      <c r="T67" s="92"/>
      <c r="U67" s="92"/>
      <c r="V67" s="92"/>
      <c r="W67" s="92"/>
    </row>
    <row r="68" spans="2:23" ht="12.75">
      <c r="B68" s="9">
        <v>50</v>
      </c>
      <c r="C68" s="2">
        <f t="shared" si="6"/>
        <v>1.763698105255598</v>
      </c>
      <c r="D68" s="2">
        <f t="shared" si="7"/>
        <v>0.11023113157847488</v>
      </c>
      <c r="E68" t="s">
        <v>1070</v>
      </c>
      <c r="K68" s="92"/>
      <c r="L68" s="92"/>
      <c r="M68" s="92"/>
      <c r="N68" s="93"/>
      <c r="O68" s="92"/>
      <c r="P68" s="92"/>
      <c r="Q68" s="92"/>
      <c r="R68" s="92"/>
      <c r="S68" s="92"/>
      <c r="T68" s="92"/>
      <c r="U68" s="92"/>
      <c r="V68" s="92"/>
      <c r="W68" s="92"/>
    </row>
    <row r="69" spans="2:5" ht="12.75">
      <c r="B69" s="9">
        <v>107</v>
      </c>
      <c r="C69" s="2">
        <f t="shared" si="6"/>
        <v>3.7743139452469796</v>
      </c>
      <c r="D69" s="2">
        <f t="shared" si="7"/>
        <v>0.23589462157793623</v>
      </c>
      <c r="E69" t="s">
        <v>144</v>
      </c>
    </row>
    <row r="70" spans="2:29" ht="12.75">
      <c r="B70" s="9">
        <v>324</v>
      </c>
      <c r="C70" s="2">
        <f t="shared" si="6"/>
        <v>11.428763722056276</v>
      </c>
      <c r="D70" s="2">
        <f t="shared" si="7"/>
        <v>0.7142977326285173</v>
      </c>
      <c r="E70" t="s">
        <v>828</v>
      </c>
      <c r="AC70" s="9"/>
    </row>
    <row r="71" spans="2:17" ht="12.75">
      <c r="B71" s="9">
        <v>35</v>
      </c>
      <c r="C71" s="2">
        <f t="shared" si="6"/>
        <v>1.2345886736789187</v>
      </c>
      <c r="D71" s="2">
        <f t="shared" si="7"/>
        <v>0.07716179210493242</v>
      </c>
      <c r="E71" s="12" t="s">
        <v>321</v>
      </c>
      <c r="F71" s="3"/>
      <c r="N71" s="9"/>
      <c r="O71" s="2"/>
      <c r="P71" s="2"/>
      <c r="Q71" s="12"/>
    </row>
    <row r="72" spans="2:17" ht="12.75">
      <c r="B72" s="9">
        <v>141</v>
      </c>
      <c r="C72" s="2">
        <f t="shared" si="6"/>
        <v>4.973628656820787</v>
      </c>
      <c r="D72" s="2">
        <f t="shared" si="7"/>
        <v>0.3108517910512992</v>
      </c>
      <c r="E72" s="12" t="s">
        <v>1172</v>
      </c>
      <c r="N72" s="9"/>
      <c r="O72" s="2"/>
      <c r="P72" s="2"/>
      <c r="Q72" s="12"/>
    </row>
    <row r="73" spans="2:5" ht="12.75">
      <c r="B73" s="9">
        <v>55</v>
      </c>
      <c r="C73" s="2">
        <f t="shared" si="6"/>
        <v>1.9400679157811578</v>
      </c>
      <c r="D73" s="2">
        <f t="shared" si="7"/>
        <v>0.12125424473632236</v>
      </c>
      <c r="E73" s="12" t="s">
        <v>319</v>
      </c>
    </row>
    <row r="74" spans="2:5" ht="12.75">
      <c r="B74" s="9">
        <v>36</v>
      </c>
      <c r="C74" s="2">
        <f>B74/28.349523</f>
        <v>1.2698626357840306</v>
      </c>
      <c r="D74" s="2"/>
      <c r="E74" t="s">
        <v>322</v>
      </c>
    </row>
    <row r="75" spans="2:29" ht="12.75">
      <c r="B75" s="9">
        <v>1455</v>
      </c>
      <c r="C75" s="2">
        <f t="shared" si="6"/>
        <v>51.3236148629379</v>
      </c>
      <c r="D75" s="2">
        <f t="shared" si="7"/>
        <v>3.207725928933619</v>
      </c>
      <c r="E75" t="s">
        <v>699</v>
      </c>
      <c r="G75" s="9"/>
      <c r="H75" s="3"/>
      <c r="I75" s="3"/>
      <c r="AC75" s="9"/>
    </row>
    <row r="76" spans="2:5" ht="12.75">
      <c r="B76" s="9">
        <v>219</v>
      </c>
      <c r="C76" s="2">
        <f t="shared" si="6"/>
        <v>7.724997701019519</v>
      </c>
      <c r="D76" s="2">
        <f t="shared" si="7"/>
        <v>0.48281235631371994</v>
      </c>
      <c r="E76" t="s">
        <v>1049</v>
      </c>
    </row>
    <row r="77" spans="2:5" ht="12.75">
      <c r="B77" s="9">
        <v>6</v>
      </c>
      <c r="C77" s="2">
        <f t="shared" si="6"/>
        <v>0.21164377263067177</v>
      </c>
      <c r="D77" s="2"/>
      <c r="E77" s="12" t="s">
        <v>324</v>
      </c>
    </row>
    <row r="78" spans="2:5" ht="12.75">
      <c r="B78" s="9">
        <v>24</v>
      </c>
      <c r="C78" s="2">
        <f t="shared" si="6"/>
        <v>0.8465750905226871</v>
      </c>
      <c r="D78" s="2"/>
      <c r="E78" t="s">
        <v>323</v>
      </c>
    </row>
    <row r="79" spans="2:5" ht="12.75">
      <c r="B79" s="16">
        <v>56</v>
      </c>
      <c r="C79" s="2">
        <f t="shared" si="6"/>
        <v>1.97534187788627</v>
      </c>
      <c r="D79" s="2"/>
      <c r="E79" s="11" t="s">
        <v>1069</v>
      </c>
    </row>
    <row r="80" spans="2:9" ht="15">
      <c r="B80" s="124"/>
      <c r="C80" s="122"/>
      <c r="D80" s="2"/>
      <c r="E80" s="125" t="s">
        <v>407</v>
      </c>
      <c r="F80" s="11"/>
      <c r="I80" s="31"/>
    </row>
    <row r="81" spans="2:5" ht="12.75">
      <c r="B81" s="9">
        <v>255</v>
      </c>
      <c r="C81" s="2">
        <f>B81/28.349523</f>
        <v>8.99486033680355</v>
      </c>
      <c r="D81" s="2">
        <f>C81/16</f>
        <v>0.5621787710502218</v>
      </c>
      <c r="E81" s="13" t="s">
        <v>1053</v>
      </c>
    </row>
    <row r="82" spans="2:5" ht="12.75">
      <c r="B82">
        <v>294</v>
      </c>
      <c r="C82" s="2">
        <f>B82/28.349523</f>
        <v>10.370544858902916</v>
      </c>
      <c r="D82" s="2">
        <f>C82/16</f>
        <v>0.6481590536814322</v>
      </c>
      <c r="E82" t="s">
        <v>1146</v>
      </c>
    </row>
    <row r="83" spans="2:5" ht="12.75">
      <c r="B83">
        <v>698</v>
      </c>
      <c r="C83" s="2">
        <f>B83/28.349523</f>
        <v>24.621225549368148</v>
      </c>
      <c r="D83" s="2">
        <f>C83/16</f>
        <v>1.5388265968355093</v>
      </c>
      <c r="E83" t="s">
        <v>1144</v>
      </c>
    </row>
    <row r="84" spans="2:5" ht="12.75">
      <c r="B84" s="9">
        <v>176</v>
      </c>
      <c r="C84" s="2">
        <f>B84/28.349523</f>
        <v>6.208217330499705</v>
      </c>
      <c r="D84" s="2">
        <f>C84/16</f>
        <v>0.3880135831562316</v>
      </c>
      <c r="E84" s="13" t="s">
        <v>1145</v>
      </c>
    </row>
    <row r="85" spans="2:5" ht="12.75">
      <c r="B85" s="9">
        <v>908</v>
      </c>
      <c r="C85" s="2">
        <f>B85/28.349523</f>
        <v>32.02875759144166</v>
      </c>
      <c r="D85" s="2">
        <f>C85/16</f>
        <v>2.001797349465104</v>
      </c>
      <c r="E85" s="13" t="s">
        <v>875</v>
      </c>
    </row>
    <row r="86" spans="2:6" s="92" customFormat="1" ht="12.75">
      <c r="B86" s="127"/>
      <c r="C86" s="128"/>
      <c r="D86" s="94"/>
      <c r="E86" s="129" t="s">
        <v>1626</v>
      </c>
      <c r="F86" s="126"/>
    </row>
    <row r="87" spans="2:6" s="92" customFormat="1" ht="12.75">
      <c r="B87" s="127"/>
      <c r="C87" s="128"/>
      <c r="D87" s="94"/>
      <c r="E87" s="129" t="s">
        <v>1328</v>
      </c>
      <c r="F87" s="126"/>
    </row>
    <row r="88" spans="3:9" ht="15">
      <c r="C88" s="2"/>
      <c r="D88" s="2"/>
      <c r="E88" s="12" t="s">
        <v>1564</v>
      </c>
      <c r="I88" s="31"/>
    </row>
    <row r="89" spans="3:9" ht="15">
      <c r="C89" s="2"/>
      <c r="D89" s="2"/>
      <c r="E89" s="12" t="s">
        <v>1695</v>
      </c>
      <c r="I89" s="31"/>
    </row>
    <row r="90" spans="2:9" ht="15">
      <c r="B90" s="9"/>
      <c r="C90" s="2"/>
      <c r="D90" s="2"/>
      <c r="E90" s="12" t="s">
        <v>1696</v>
      </c>
      <c r="I90" s="31"/>
    </row>
    <row r="91" spans="2:9" ht="15">
      <c r="B91" s="9"/>
      <c r="C91" s="2"/>
      <c r="D91" s="2"/>
      <c r="E91" s="12" t="s">
        <v>241</v>
      </c>
      <c r="I91" s="31"/>
    </row>
    <row r="92" spans="2:5" ht="12.75">
      <c r="B92" s="9"/>
      <c r="C92" s="2"/>
      <c r="D92" s="2"/>
      <c r="E92" s="12" t="s">
        <v>1999</v>
      </c>
    </row>
    <row r="93" spans="2:9" ht="15">
      <c r="B93" s="9"/>
      <c r="C93" s="2"/>
      <c r="D93" s="2"/>
      <c r="E93" s="12" t="s">
        <v>2000</v>
      </c>
      <c r="I93" s="31"/>
    </row>
    <row r="94" spans="2:9" ht="15">
      <c r="B94" s="9"/>
      <c r="C94" s="2"/>
      <c r="D94" s="2"/>
      <c r="E94" s="12" t="s">
        <v>268</v>
      </c>
      <c r="I94" s="31"/>
    </row>
    <row r="95" spans="2:9" ht="15">
      <c r="B95" s="9"/>
      <c r="C95" s="2"/>
      <c r="D95" s="2"/>
      <c r="E95" s="12" t="s">
        <v>269</v>
      </c>
      <c r="I95" s="31"/>
    </row>
    <row r="96" spans="2:5" ht="12.75">
      <c r="B96" s="9"/>
      <c r="C96" s="2"/>
      <c r="D96" s="2"/>
      <c r="E96" s="12" t="s">
        <v>1692</v>
      </c>
    </row>
    <row r="97" spans="2:5" ht="12.75">
      <c r="B97" s="9"/>
      <c r="C97" s="2"/>
      <c r="D97" s="2"/>
      <c r="E97" s="12" t="s">
        <v>1698</v>
      </c>
    </row>
    <row r="98" spans="2:5" ht="12.75">
      <c r="B98" s="9"/>
      <c r="C98" s="2"/>
      <c r="D98" s="2"/>
      <c r="E98" s="12" t="s">
        <v>301</v>
      </c>
    </row>
    <row r="99" spans="2:5" ht="12.75">
      <c r="B99" s="9"/>
      <c r="C99" s="2"/>
      <c r="D99" s="2"/>
      <c r="E99" s="11" t="s">
        <v>260</v>
      </c>
    </row>
    <row r="100" spans="2:5" ht="12.75">
      <c r="B100" s="9"/>
      <c r="C100" s="2"/>
      <c r="D100" s="2"/>
      <c r="E100" s="11" t="s">
        <v>259</v>
      </c>
    </row>
    <row r="101" spans="2:5" ht="12.75">
      <c r="B101" s="9"/>
      <c r="C101" s="2"/>
      <c r="D101" s="2"/>
      <c r="E101" s="11" t="s">
        <v>1851</v>
      </c>
    </row>
    <row r="102" spans="3:5" ht="12.75">
      <c r="C102" s="2"/>
      <c r="D102" s="2"/>
      <c r="E102" s="11" t="s">
        <v>250</v>
      </c>
    </row>
    <row r="103" ht="12.75">
      <c r="E103" s="11" t="s">
        <v>252</v>
      </c>
    </row>
    <row r="104" ht="12.75">
      <c r="E104" s="11" t="s">
        <v>823</v>
      </c>
    </row>
    <row r="105" ht="12.75">
      <c r="E105" s="11" t="s">
        <v>1993</v>
      </c>
    </row>
    <row r="106" ht="12.75">
      <c r="E106" s="11" t="s">
        <v>262</v>
      </c>
    </row>
    <row r="107" ht="12.75">
      <c r="E107" s="11" t="s">
        <v>1256</v>
      </c>
    </row>
    <row r="108" spans="2:17" ht="12.75">
      <c r="B108" s="16">
        <v>880</v>
      </c>
      <c r="C108" s="2">
        <f>B108/28.349523</f>
        <v>31.041086652498525</v>
      </c>
      <c r="D108" s="2">
        <f>C108/16</f>
        <v>1.9400679157811578</v>
      </c>
      <c r="E108" s="27" t="s">
        <v>1263</v>
      </c>
      <c r="F108" s="3"/>
      <c r="I108" s="9"/>
      <c r="Q108" s="3"/>
    </row>
    <row r="109" ht="12.75">
      <c r="E109" s="11" t="s">
        <v>876</v>
      </c>
    </row>
    <row r="110" ht="12.75">
      <c r="E110" s="11" t="s">
        <v>262</v>
      </c>
    </row>
    <row r="111" spans="2:5" ht="12.75">
      <c r="B111" s="9"/>
      <c r="C111" s="2"/>
      <c r="D111" s="2"/>
      <c r="E111" s="12" t="s">
        <v>145</v>
      </c>
    </row>
    <row r="112" spans="5:28" ht="83.25" customHeight="1">
      <c r="E112" s="12" t="s">
        <v>2075</v>
      </c>
      <c r="F112" s="28" t="s">
        <v>848</v>
      </c>
      <c r="G112" s="1" t="s">
        <v>847</v>
      </c>
      <c r="H112" s="1" t="s">
        <v>849</v>
      </c>
      <c r="I112" s="1" t="s">
        <v>850</v>
      </c>
      <c r="J112" s="1" t="s">
        <v>851</v>
      </c>
      <c r="K112" s="1" t="s">
        <v>852</v>
      </c>
      <c r="L112" s="1" t="s">
        <v>853</v>
      </c>
      <c r="M112" s="1" t="s">
        <v>854</v>
      </c>
      <c r="N112" s="1" t="s">
        <v>855</v>
      </c>
      <c r="O112" s="1" t="s">
        <v>856</v>
      </c>
      <c r="P112" s="1" t="s">
        <v>867</v>
      </c>
      <c r="Q112" s="1" t="s">
        <v>857</v>
      </c>
      <c r="R112" s="1" t="s">
        <v>858</v>
      </c>
      <c r="S112" s="1" t="s">
        <v>562</v>
      </c>
      <c r="T112" s="1" t="s">
        <v>563</v>
      </c>
      <c r="U112" s="1" t="s">
        <v>572</v>
      </c>
      <c r="V112" s="1" t="s">
        <v>571</v>
      </c>
      <c r="W112" s="1" t="s">
        <v>575</v>
      </c>
      <c r="X112" s="1" t="s">
        <v>576</v>
      </c>
      <c r="Y112" s="1" t="s">
        <v>577</v>
      </c>
      <c r="Z112" s="1" t="s">
        <v>578</v>
      </c>
      <c r="AA112" s="1" t="s">
        <v>553</v>
      </c>
      <c r="AB112" s="1"/>
    </row>
    <row r="113" spans="1:29" ht="12.75">
      <c r="A113" s="9">
        <f>G113*U113</f>
        <v>665.7142857142857</v>
      </c>
      <c r="B113">
        <v>233</v>
      </c>
      <c r="C113" s="2">
        <f>B113/28.349523</f>
        <v>8.218833170491086</v>
      </c>
      <c r="D113" s="2">
        <f>C113/16</f>
        <v>0.5136770731556929</v>
      </c>
      <c r="E113" s="11" t="s">
        <v>1936</v>
      </c>
      <c r="F113" s="9">
        <v>28</v>
      </c>
      <c r="G113">
        <v>80</v>
      </c>
      <c r="H113">
        <v>1</v>
      </c>
      <c r="I113">
        <v>0.5</v>
      </c>
      <c r="J113">
        <v>25</v>
      </c>
      <c r="K113">
        <v>4</v>
      </c>
      <c r="L113">
        <v>3</v>
      </c>
      <c r="M113">
        <v>15</v>
      </c>
      <c r="N113">
        <v>0</v>
      </c>
      <c r="O113" s="2">
        <f>G113/F113</f>
        <v>2.857142857142857</v>
      </c>
      <c r="P113" s="29">
        <f>100*4*M113/G113</f>
        <v>75</v>
      </c>
      <c r="Q113" s="9">
        <f>100*9*H113/G113</f>
        <v>11.25</v>
      </c>
      <c r="R113" s="16">
        <f>100*(I113*9)/G113</f>
        <v>5.625</v>
      </c>
      <c r="S113" s="16">
        <f>100*K113*4/G113</f>
        <v>20</v>
      </c>
      <c r="T113" s="9">
        <f>100*N113/F113</f>
        <v>0</v>
      </c>
      <c r="U113" s="2">
        <f>B113/F113</f>
        <v>8.321428571428571</v>
      </c>
      <c r="V113" s="9">
        <f>U113*M113</f>
        <v>124.82142857142857</v>
      </c>
      <c r="W113" s="9">
        <f>U113*H113</f>
        <v>8.321428571428571</v>
      </c>
      <c r="X113" s="9">
        <f>U113*K113</f>
        <v>33.285714285714285</v>
      </c>
      <c r="Y113" s="9">
        <f>N113*U113</f>
        <v>0</v>
      </c>
      <c r="Z113" s="9">
        <f>U113*J113</f>
        <v>208.03571428571428</v>
      </c>
      <c r="AA113" s="9">
        <f aca="true" t="shared" si="8" ref="AA113:AA127">I113*U113</f>
        <v>4.160714285714286</v>
      </c>
      <c r="AB113" s="9" t="s">
        <v>1345</v>
      </c>
      <c r="AC113" s="9"/>
    </row>
    <row r="114" spans="1:29" ht="12.75">
      <c r="A114">
        <f aca="true" t="shared" si="9" ref="A114:A123">G114*U114</f>
        <v>180</v>
      </c>
      <c r="B114" s="9">
        <f>F114*U114</f>
        <v>44</v>
      </c>
      <c r="C114" s="2">
        <f>B114/28.349523</f>
        <v>1.5520543326249263</v>
      </c>
      <c r="D114" s="2">
        <f>C114/16</f>
        <v>0.0970033957890579</v>
      </c>
      <c r="E114" s="11" t="s">
        <v>253</v>
      </c>
      <c r="F114" s="9">
        <v>22</v>
      </c>
      <c r="G114">
        <v>90</v>
      </c>
      <c r="H114">
        <v>2</v>
      </c>
      <c r="I114">
        <v>0.5</v>
      </c>
      <c r="J114">
        <v>0</v>
      </c>
      <c r="K114">
        <v>18</v>
      </c>
      <c r="L114">
        <v>8</v>
      </c>
      <c r="M114">
        <v>1</v>
      </c>
      <c r="N114">
        <v>0</v>
      </c>
      <c r="O114" s="2">
        <f aca="true" t="shared" si="10" ref="O114:O123">G114/F114</f>
        <v>4.090909090909091</v>
      </c>
      <c r="P114" s="16">
        <f>100*4*M114/G114</f>
        <v>4.444444444444445</v>
      </c>
      <c r="Q114" s="9">
        <f>100*9*H114/G114</f>
        <v>20</v>
      </c>
      <c r="R114" s="16">
        <f aca="true" t="shared" si="11" ref="R114:R123">100*(I114*9)/G114</f>
        <v>5</v>
      </c>
      <c r="S114" s="29">
        <f>100*K114*4/G114</f>
        <v>80</v>
      </c>
      <c r="T114" s="9">
        <f>100*N114/F114</f>
        <v>0</v>
      </c>
      <c r="U114" s="2">
        <v>2</v>
      </c>
      <c r="V114" s="9">
        <f aca="true" t="shared" si="12" ref="V114:V123">U114*M114</f>
        <v>2</v>
      </c>
      <c r="W114" s="9">
        <f aca="true" t="shared" si="13" ref="W114:W123">U114*H114</f>
        <v>4</v>
      </c>
      <c r="X114" s="9">
        <f aca="true" t="shared" si="14" ref="X114:X123">U114*K114</f>
        <v>36</v>
      </c>
      <c r="Y114" s="9">
        <f aca="true" t="shared" si="15" ref="Y114:Y123">N114*U114</f>
        <v>0</v>
      </c>
      <c r="Z114">
        <f aca="true" t="shared" si="16" ref="Z114:Z123">U114*J114</f>
        <v>0</v>
      </c>
      <c r="AA114" s="2">
        <f t="shared" si="8"/>
        <v>1</v>
      </c>
      <c r="AB114" s="9"/>
      <c r="AC114" s="9"/>
    </row>
    <row r="115" spans="1:29" ht="12.75">
      <c r="A115" s="9">
        <f>G115*U115</f>
        <v>667.3941176470588</v>
      </c>
      <c r="B115">
        <f>99+78</f>
        <v>177</v>
      </c>
      <c r="C115" s="2">
        <f>B115/28.349523</f>
        <v>6.243491292604817</v>
      </c>
      <c r="D115" s="2">
        <f>C115/16</f>
        <v>0.3902182057878011</v>
      </c>
      <c r="E115" s="11" t="s">
        <v>1628</v>
      </c>
      <c r="F115" s="9">
        <v>17</v>
      </c>
      <c r="G115">
        <v>64.1</v>
      </c>
      <c r="H115">
        <v>0</v>
      </c>
      <c r="I115" s="10">
        <v>0</v>
      </c>
      <c r="J115" s="6">
        <v>0</v>
      </c>
      <c r="K115" s="6">
        <v>15.9</v>
      </c>
      <c r="L115" s="6">
        <v>16</v>
      </c>
      <c r="M115" s="6">
        <v>0</v>
      </c>
      <c r="N115" s="6">
        <v>0</v>
      </c>
      <c r="O115" s="2">
        <f>G115/F115</f>
        <v>3.770588235294117</v>
      </c>
      <c r="P115" s="42">
        <f>100*4*M115/G115</f>
        <v>0</v>
      </c>
      <c r="Q115" s="9">
        <f>100*9*H115/G115</f>
        <v>0</v>
      </c>
      <c r="R115" s="42">
        <f>100*(I115*9)/G115</f>
        <v>0</v>
      </c>
      <c r="S115" s="29">
        <f>100*K115*4/G115</f>
        <v>99.21996879875196</v>
      </c>
      <c r="T115" s="42">
        <f>100*N115/F115</f>
        <v>0</v>
      </c>
      <c r="U115" s="44">
        <f>B115/F115</f>
        <v>10.411764705882353</v>
      </c>
      <c r="V115" s="16">
        <f>U115*M115</f>
        <v>0</v>
      </c>
      <c r="W115" s="9">
        <f>U115*H115</f>
        <v>0</v>
      </c>
      <c r="X115" s="9">
        <f>U115*K115</f>
        <v>165.54705882352943</v>
      </c>
      <c r="Y115" s="9">
        <f>N115*U115</f>
        <v>0</v>
      </c>
      <c r="Z115">
        <f>U115*J115</f>
        <v>0</v>
      </c>
      <c r="AA115" s="2">
        <f t="shared" si="8"/>
        <v>0</v>
      </c>
      <c r="AB115" s="9" t="s">
        <v>2062</v>
      </c>
      <c r="AC115" s="9"/>
    </row>
    <row r="116" spans="1:29" ht="12.75">
      <c r="A116" s="9">
        <f>G116*U116</f>
        <v>420</v>
      </c>
      <c r="B116">
        <v>50</v>
      </c>
      <c r="C116" s="2">
        <f>B116/28.349523</f>
        <v>1.763698105255598</v>
      </c>
      <c r="D116" s="2">
        <f>C116/16</f>
        <v>0.11023113157847488</v>
      </c>
      <c r="E116" s="11" t="s">
        <v>531</v>
      </c>
      <c r="F116" s="9">
        <v>50</v>
      </c>
      <c r="G116">
        <v>210</v>
      </c>
      <c r="H116">
        <v>7</v>
      </c>
      <c r="I116" s="10">
        <v>4</v>
      </c>
      <c r="J116">
        <v>0</v>
      </c>
      <c r="K116">
        <v>22</v>
      </c>
      <c r="L116">
        <v>13</v>
      </c>
      <c r="M116">
        <v>16</v>
      </c>
      <c r="N116">
        <v>0.5</v>
      </c>
      <c r="O116" s="2">
        <f>G116/F116</f>
        <v>4.2</v>
      </c>
      <c r="P116" s="29">
        <f aca="true" t="shared" si="17" ref="P116:P122">100*4*M116/G116</f>
        <v>30.476190476190474</v>
      </c>
      <c r="Q116" s="9">
        <f>100*9*H116/G116</f>
        <v>30</v>
      </c>
      <c r="R116" s="29">
        <f>100*(I116*9)/G116</f>
        <v>17.142857142857142</v>
      </c>
      <c r="S116" s="16">
        <f aca="true" t="shared" si="18" ref="S116:S127">100*K116*4/G116</f>
        <v>41.904761904761905</v>
      </c>
      <c r="T116" s="9">
        <f>100*N116/F116</f>
        <v>1</v>
      </c>
      <c r="U116" s="60">
        <v>2</v>
      </c>
      <c r="V116" s="16">
        <f>U116*M116</f>
        <v>32</v>
      </c>
      <c r="W116" s="9">
        <f>U116*H116</f>
        <v>14</v>
      </c>
      <c r="X116" s="9">
        <f>U116*K116</f>
        <v>44</v>
      </c>
      <c r="Y116" s="16">
        <f>N116*U116</f>
        <v>1</v>
      </c>
      <c r="Z116">
        <f>U116*J116</f>
        <v>0</v>
      </c>
      <c r="AA116" s="2">
        <f t="shared" si="8"/>
        <v>8</v>
      </c>
      <c r="AB116" s="11" t="s">
        <v>532</v>
      </c>
      <c r="AC116" s="9"/>
    </row>
    <row r="117" spans="1:29" ht="12.75">
      <c r="A117" s="9">
        <f t="shared" si="9"/>
        <v>200</v>
      </c>
      <c r="B117">
        <v>50</v>
      </c>
      <c r="C117" s="2">
        <f aca="true" t="shared" si="19" ref="C117:C127">B117/28.349523</f>
        <v>1.763698105255598</v>
      </c>
      <c r="D117" s="2">
        <f aca="true" t="shared" si="20" ref="D117:D127">C117/16</f>
        <v>0.11023113157847488</v>
      </c>
      <c r="E117" s="11" t="s">
        <v>863</v>
      </c>
      <c r="F117" s="9">
        <v>50</v>
      </c>
      <c r="G117">
        <v>200</v>
      </c>
      <c r="H117">
        <v>7</v>
      </c>
      <c r="I117" s="10">
        <v>3</v>
      </c>
      <c r="J117">
        <v>15</v>
      </c>
      <c r="K117">
        <v>21</v>
      </c>
      <c r="L117">
        <v>18</v>
      </c>
      <c r="M117">
        <v>15</v>
      </c>
      <c r="N117">
        <v>2</v>
      </c>
      <c r="O117" s="2">
        <f t="shared" si="10"/>
        <v>4</v>
      </c>
      <c r="P117" s="29">
        <f t="shared" si="17"/>
        <v>30</v>
      </c>
      <c r="Q117" s="9">
        <f aca="true" t="shared" si="21" ref="Q117:Q123">100*9*H117/G117</f>
        <v>31.5</v>
      </c>
      <c r="R117" s="16">
        <f t="shared" si="11"/>
        <v>13.5</v>
      </c>
      <c r="S117" s="16">
        <f t="shared" si="18"/>
        <v>42</v>
      </c>
      <c r="T117" s="16">
        <f aca="true" t="shared" si="22" ref="T117:T123">100*N117/F117</f>
        <v>4</v>
      </c>
      <c r="U117" s="60">
        <f>B117/F117</f>
        <v>1</v>
      </c>
      <c r="V117" s="16">
        <f t="shared" si="12"/>
        <v>15</v>
      </c>
      <c r="W117" s="9">
        <f t="shared" si="13"/>
        <v>7</v>
      </c>
      <c r="X117" s="9">
        <f t="shared" si="14"/>
        <v>21</v>
      </c>
      <c r="Y117" s="16">
        <f t="shared" si="15"/>
        <v>2</v>
      </c>
      <c r="Z117">
        <f t="shared" si="16"/>
        <v>15</v>
      </c>
      <c r="AA117" s="2">
        <f t="shared" si="8"/>
        <v>3</v>
      </c>
      <c r="AB117" s="11" t="s">
        <v>864</v>
      </c>
      <c r="AC117" s="9"/>
    </row>
    <row r="118" spans="1:29" ht="12.75">
      <c r="A118" s="9">
        <f>G118*U118</f>
        <v>791.5625</v>
      </c>
      <c r="B118" s="9">
        <v>149</v>
      </c>
      <c r="C118" s="2">
        <f t="shared" si="19"/>
        <v>5.255820353661682</v>
      </c>
      <c r="D118" s="2">
        <f t="shared" si="20"/>
        <v>0.32848877210385513</v>
      </c>
      <c r="E118" s="11" t="s">
        <v>860</v>
      </c>
      <c r="F118" s="9">
        <v>32</v>
      </c>
      <c r="G118">
        <v>170</v>
      </c>
      <c r="H118">
        <v>9</v>
      </c>
      <c r="I118" s="10">
        <v>4</v>
      </c>
      <c r="J118">
        <v>5</v>
      </c>
      <c r="K118">
        <v>20</v>
      </c>
      <c r="L118">
        <v>11</v>
      </c>
      <c r="M118">
        <v>2</v>
      </c>
      <c r="N118">
        <v>1</v>
      </c>
      <c r="O118" s="10">
        <f>G118/F118</f>
        <v>5.3125</v>
      </c>
      <c r="P118" s="16">
        <f t="shared" si="17"/>
        <v>4.705882352941177</v>
      </c>
      <c r="Q118" s="16">
        <f>100*9*H118/G118</f>
        <v>47.64705882352941</v>
      </c>
      <c r="R118" s="16">
        <f>100*(I118*9)/G118</f>
        <v>21.176470588235293</v>
      </c>
      <c r="S118" s="16">
        <f t="shared" si="18"/>
        <v>47.05882352941177</v>
      </c>
      <c r="T118" s="16">
        <f>100*N118/F118</f>
        <v>3.125</v>
      </c>
      <c r="U118" s="60">
        <f>B118/F118</f>
        <v>4.65625</v>
      </c>
      <c r="V118" s="16">
        <f>U118*M118</f>
        <v>9.3125</v>
      </c>
      <c r="W118" s="9">
        <f>U118*H118</f>
        <v>41.90625</v>
      </c>
      <c r="X118" s="9">
        <f>U118*K118</f>
        <v>93.125</v>
      </c>
      <c r="Y118" s="16">
        <f>N118*U118</f>
        <v>4.65625</v>
      </c>
      <c r="Z118">
        <f>U118*J118</f>
        <v>23.28125</v>
      </c>
      <c r="AA118" s="2">
        <f t="shared" si="8"/>
        <v>18.625</v>
      </c>
      <c r="AB118" s="9" t="s">
        <v>1572</v>
      </c>
      <c r="AC118" s="9"/>
    </row>
    <row r="119" spans="1:29" ht="12.75">
      <c r="A119" s="9">
        <f t="shared" si="9"/>
        <v>600</v>
      </c>
      <c r="B119" s="9">
        <v>150</v>
      </c>
      <c r="C119" s="2">
        <f t="shared" si="19"/>
        <v>5.291094315766794</v>
      </c>
      <c r="D119" s="2">
        <f t="shared" si="20"/>
        <v>0.33069339473542464</v>
      </c>
      <c r="E119" s="11" t="s">
        <v>859</v>
      </c>
      <c r="F119" s="9">
        <v>25</v>
      </c>
      <c r="G119">
        <v>100</v>
      </c>
      <c r="H119">
        <v>3</v>
      </c>
      <c r="I119" s="10">
        <v>1.5</v>
      </c>
      <c r="J119">
        <v>10</v>
      </c>
      <c r="K119">
        <v>17</v>
      </c>
      <c r="L119">
        <v>13</v>
      </c>
      <c r="M119">
        <v>0.5</v>
      </c>
      <c r="N119">
        <f>25*0.02</f>
        <v>0.5</v>
      </c>
      <c r="O119" s="10">
        <f t="shared" si="10"/>
        <v>4</v>
      </c>
      <c r="P119" s="16">
        <f t="shared" si="17"/>
        <v>2</v>
      </c>
      <c r="Q119" s="16">
        <f t="shared" si="21"/>
        <v>27</v>
      </c>
      <c r="R119" s="16">
        <f t="shared" si="11"/>
        <v>13.5</v>
      </c>
      <c r="S119" s="16">
        <f t="shared" si="18"/>
        <v>68</v>
      </c>
      <c r="T119" s="16">
        <f t="shared" si="22"/>
        <v>2</v>
      </c>
      <c r="U119" s="44">
        <f>B119/F119</f>
        <v>6</v>
      </c>
      <c r="V119" s="16">
        <f t="shared" si="12"/>
        <v>3</v>
      </c>
      <c r="W119" s="9">
        <f t="shared" si="13"/>
        <v>18</v>
      </c>
      <c r="X119" s="9">
        <f t="shared" si="14"/>
        <v>102</v>
      </c>
      <c r="Y119" s="16">
        <f t="shared" si="15"/>
        <v>3</v>
      </c>
      <c r="Z119">
        <f t="shared" si="16"/>
        <v>60</v>
      </c>
      <c r="AA119" s="2">
        <f t="shared" si="8"/>
        <v>9</v>
      </c>
      <c r="AB119" s="9" t="s">
        <v>1572</v>
      </c>
      <c r="AC119" s="9"/>
    </row>
    <row r="120" spans="1:29" ht="12.75">
      <c r="A120" s="9">
        <f>G120*U120</f>
        <v>280</v>
      </c>
      <c r="B120">
        <f>F120*U120</f>
        <v>70</v>
      </c>
      <c r="C120" s="2">
        <f>B120/28.349523</f>
        <v>2.4691773473578373</v>
      </c>
      <c r="D120" s="2">
        <f>C120/16</f>
        <v>0.15432358420986483</v>
      </c>
      <c r="E120" s="11" t="s">
        <v>382</v>
      </c>
      <c r="F120" s="9">
        <v>35</v>
      </c>
      <c r="G120">
        <v>140</v>
      </c>
      <c r="H120">
        <v>3.5</v>
      </c>
      <c r="I120" s="10">
        <v>0</v>
      </c>
      <c r="J120" s="6">
        <v>0</v>
      </c>
      <c r="K120" s="6">
        <v>26</v>
      </c>
      <c r="L120" s="6">
        <v>13</v>
      </c>
      <c r="M120" s="6">
        <v>2</v>
      </c>
      <c r="N120" s="6">
        <v>1</v>
      </c>
      <c r="O120" s="2">
        <f>G120/F120</f>
        <v>4</v>
      </c>
      <c r="P120" s="16">
        <f t="shared" si="17"/>
        <v>5.714285714285714</v>
      </c>
      <c r="Q120" s="9">
        <f>100*9*H120/G120</f>
        <v>22.5</v>
      </c>
      <c r="R120" s="16">
        <f>100*(I120*9)/G120</f>
        <v>0</v>
      </c>
      <c r="S120" s="16">
        <f t="shared" si="18"/>
        <v>74.28571428571429</v>
      </c>
      <c r="T120" s="9">
        <f>100*N120/F120</f>
        <v>2.857142857142857</v>
      </c>
      <c r="U120" s="44">
        <v>2</v>
      </c>
      <c r="V120" s="16">
        <f>U120*M120</f>
        <v>4</v>
      </c>
      <c r="W120" s="9">
        <f>U120*H120</f>
        <v>7</v>
      </c>
      <c r="X120" s="9">
        <f>U120*K120</f>
        <v>52</v>
      </c>
      <c r="Y120" s="9">
        <f>N120*U120</f>
        <v>2</v>
      </c>
      <c r="Z120">
        <f>U120*J120</f>
        <v>0</v>
      </c>
      <c r="AA120" s="2">
        <f t="shared" si="8"/>
        <v>0</v>
      </c>
      <c r="AB120" s="9" t="s">
        <v>1823</v>
      </c>
      <c r="AC120" s="9"/>
    </row>
    <row r="121" spans="1:29" ht="12.75">
      <c r="A121" s="9">
        <f>G121*U121</f>
        <v>280</v>
      </c>
      <c r="B121">
        <f>F121*U121</f>
        <v>70</v>
      </c>
      <c r="C121" s="2">
        <f>B121/28.349523</f>
        <v>2.4691773473578373</v>
      </c>
      <c r="D121" s="2">
        <f>C121/16</f>
        <v>0.15432358420986483</v>
      </c>
      <c r="E121" s="11" t="s">
        <v>2050</v>
      </c>
      <c r="F121" s="9">
        <v>35</v>
      </c>
      <c r="G121">
        <v>140</v>
      </c>
      <c r="H121">
        <v>4</v>
      </c>
      <c r="I121" s="10">
        <v>0.5</v>
      </c>
      <c r="J121" s="6">
        <v>0</v>
      </c>
      <c r="K121" s="6">
        <v>25</v>
      </c>
      <c r="L121" s="6">
        <v>13</v>
      </c>
      <c r="M121" s="6">
        <v>3</v>
      </c>
      <c r="N121" s="6">
        <v>1</v>
      </c>
      <c r="O121" s="2">
        <f>G121/F121</f>
        <v>4</v>
      </c>
      <c r="P121" s="16">
        <f t="shared" si="17"/>
        <v>8.571428571428571</v>
      </c>
      <c r="Q121" s="9">
        <f>100*9*H121/G121</f>
        <v>25.714285714285715</v>
      </c>
      <c r="R121" s="16">
        <f>100*(I121*9)/G121</f>
        <v>3.2142857142857144</v>
      </c>
      <c r="S121" s="16">
        <f t="shared" si="18"/>
        <v>71.42857142857143</v>
      </c>
      <c r="T121" s="9">
        <f>100*N121/F121</f>
        <v>2.857142857142857</v>
      </c>
      <c r="U121" s="44">
        <v>2</v>
      </c>
      <c r="V121" s="16">
        <f>U121*M121</f>
        <v>6</v>
      </c>
      <c r="W121" s="9">
        <f>U121*H121</f>
        <v>8</v>
      </c>
      <c r="X121" s="9">
        <f>U121*K121</f>
        <v>50</v>
      </c>
      <c r="Y121" s="9">
        <f>N121*U121</f>
        <v>2</v>
      </c>
      <c r="Z121">
        <f>U121*J121</f>
        <v>0</v>
      </c>
      <c r="AA121" s="2">
        <f t="shared" si="8"/>
        <v>1</v>
      </c>
      <c r="AB121" s="9" t="s">
        <v>1823</v>
      </c>
      <c r="AC121" s="9"/>
    </row>
    <row r="122" spans="1:29" ht="12.75">
      <c r="A122" s="9">
        <f t="shared" si="9"/>
        <v>1080</v>
      </c>
      <c r="B122" s="9">
        <v>180</v>
      </c>
      <c r="C122" s="2">
        <f t="shared" si="19"/>
        <v>6.349313178920153</v>
      </c>
      <c r="D122" s="2">
        <f t="shared" si="20"/>
        <v>0.39683207368250956</v>
      </c>
      <c r="E122" s="11" t="s">
        <v>564</v>
      </c>
      <c r="F122" s="9">
        <v>30</v>
      </c>
      <c r="G122">
        <v>180</v>
      </c>
      <c r="H122">
        <v>13</v>
      </c>
      <c r="I122" s="6">
        <v>1.5</v>
      </c>
      <c r="J122">
        <v>0</v>
      </c>
      <c r="K122">
        <v>9</v>
      </c>
      <c r="L122">
        <v>2</v>
      </c>
      <c r="M122">
        <v>6</v>
      </c>
      <c r="N122">
        <v>3</v>
      </c>
      <c r="O122" s="32">
        <f t="shared" si="10"/>
        <v>6</v>
      </c>
      <c r="P122" s="16">
        <f t="shared" si="17"/>
        <v>13.333333333333334</v>
      </c>
      <c r="Q122" s="29">
        <f t="shared" si="21"/>
        <v>65</v>
      </c>
      <c r="R122" s="16">
        <f t="shared" si="11"/>
        <v>7.5</v>
      </c>
      <c r="S122" s="16">
        <f t="shared" si="18"/>
        <v>20</v>
      </c>
      <c r="T122" s="29">
        <f t="shared" si="22"/>
        <v>10</v>
      </c>
      <c r="U122" s="60">
        <f aca="true" t="shared" si="23" ref="U122:U127">B122/F122</f>
        <v>6</v>
      </c>
      <c r="V122" s="9">
        <f t="shared" si="12"/>
        <v>36</v>
      </c>
      <c r="W122" s="9">
        <f t="shared" si="13"/>
        <v>78</v>
      </c>
      <c r="X122" s="9">
        <f t="shared" si="14"/>
        <v>54</v>
      </c>
      <c r="Y122" s="9">
        <f t="shared" si="15"/>
        <v>18</v>
      </c>
      <c r="Z122" s="9">
        <f t="shared" si="16"/>
        <v>0</v>
      </c>
      <c r="AA122" s="9">
        <f t="shared" si="8"/>
        <v>9</v>
      </c>
      <c r="AB122" s="9" t="s">
        <v>570</v>
      </c>
      <c r="AC122" s="9"/>
    </row>
    <row r="123" spans="1:29" ht="12.75">
      <c r="A123" s="9">
        <f t="shared" si="9"/>
        <v>210</v>
      </c>
      <c r="B123">
        <v>60</v>
      </c>
      <c r="C123" s="2">
        <f t="shared" si="19"/>
        <v>2.116437726306718</v>
      </c>
      <c r="D123" s="2">
        <f t="shared" si="20"/>
        <v>0.13227735789416986</v>
      </c>
      <c r="E123" s="11" t="s">
        <v>861</v>
      </c>
      <c r="F123" s="9">
        <v>60</v>
      </c>
      <c r="G123">
        <v>210</v>
      </c>
      <c r="H123">
        <v>6</v>
      </c>
      <c r="I123" s="10">
        <v>4</v>
      </c>
      <c r="J123">
        <v>4</v>
      </c>
      <c r="K123">
        <v>24</v>
      </c>
      <c r="L123">
        <v>1</v>
      </c>
      <c r="M123">
        <v>21</v>
      </c>
      <c r="N123">
        <v>1</v>
      </c>
      <c r="O123" s="2">
        <f t="shared" si="10"/>
        <v>3.5</v>
      </c>
      <c r="P123" s="29">
        <f>100*4*M123/G123</f>
        <v>40</v>
      </c>
      <c r="Q123" s="9">
        <f t="shared" si="21"/>
        <v>25.714285714285715</v>
      </c>
      <c r="R123" s="29">
        <f t="shared" si="11"/>
        <v>17.142857142857142</v>
      </c>
      <c r="S123" s="16">
        <f t="shared" si="18"/>
        <v>45.714285714285715</v>
      </c>
      <c r="T123" s="16">
        <f t="shared" si="22"/>
        <v>1.6666666666666667</v>
      </c>
      <c r="U123" s="60">
        <f t="shared" si="23"/>
        <v>1</v>
      </c>
      <c r="V123" s="16">
        <f t="shared" si="12"/>
        <v>21</v>
      </c>
      <c r="W123" s="9">
        <f t="shared" si="13"/>
        <v>6</v>
      </c>
      <c r="X123" s="9">
        <f t="shared" si="14"/>
        <v>24</v>
      </c>
      <c r="Y123" s="16">
        <f t="shared" si="15"/>
        <v>1</v>
      </c>
      <c r="Z123">
        <f t="shared" si="16"/>
        <v>4</v>
      </c>
      <c r="AA123" s="2">
        <f t="shared" si="8"/>
        <v>4</v>
      </c>
      <c r="AB123" s="11" t="s">
        <v>862</v>
      </c>
      <c r="AC123" s="9"/>
    </row>
    <row r="124" spans="1:29" ht="12.75">
      <c r="A124" s="9">
        <f>G124*U124</f>
        <v>286.56470588235294</v>
      </c>
      <c r="B124">
        <v>76</v>
      </c>
      <c r="C124" s="2">
        <f>B124/28.349523</f>
        <v>2.680821119988509</v>
      </c>
      <c r="D124" s="2">
        <f>C124/16</f>
        <v>0.1675513199992818</v>
      </c>
      <c r="E124" s="11" t="s">
        <v>871</v>
      </c>
      <c r="F124" s="9">
        <v>17</v>
      </c>
      <c r="G124">
        <v>64.1</v>
      </c>
      <c r="H124">
        <v>0</v>
      </c>
      <c r="I124" s="10">
        <v>0</v>
      </c>
      <c r="J124" s="6">
        <v>0</v>
      </c>
      <c r="K124" s="6">
        <v>15.9</v>
      </c>
      <c r="L124" s="6">
        <v>16</v>
      </c>
      <c r="M124" s="6">
        <v>0</v>
      </c>
      <c r="N124" s="6">
        <v>0</v>
      </c>
      <c r="O124" s="2">
        <f>G124/F124</f>
        <v>3.770588235294117</v>
      </c>
      <c r="P124" s="42">
        <f>100*4*M124/G124</f>
        <v>0</v>
      </c>
      <c r="Q124" s="9">
        <f>100*9*H124/G124</f>
        <v>0</v>
      </c>
      <c r="R124" s="42">
        <f>100*(I124*9)/G124</f>
        <v>0</v>
      </c>
      <c r="S124" s="29">
        <f>100*K124*4/G124</f>
        <v>99.21996879875196</v>
      </c>
      <c r="T124" s="42">
        <f>100*N124/F124</f>
        <v>0</v>
      </c>
      <c r="U124" s="60">
        <f t="shared" si="23"/>
        <v>4.470588235294118</v>
      </c>
      <c r="V124" s="16">
        <f>U124*M124</f>
        <v>0</v>
      </c>
      <c r="W124" s="9">
        <f>U124*H124</f>
        <v>0</v>
      </c>
      <c r="X124" s="9">
        <f>U124*K124</f>
        <v>71.08235294117647</v>
      </c>
      <c r="Y124" s="9">
        <f>N124*U124</f>
        <v>0</v>
      </c>
      <c r="Z124">
        <f>U124*J124</f>
        <v>0</v>
      </c>
      <c r="AA124" s="2">
        <f t="shared" si="8"/>
        <v>0</v>
      </c>
      <c r="AB124" s="9" t="s">
        <v>2062</v>
      </c>
      <c r="AC124" s="9"/>
    </row>
    <row r="125" spans="1:29" ht="12.75">
      <c r="A125" s="9">
        <f>G125*U125</f>
        <v>217</v>
      </c>
      <c r="B125" s="9">
        <v>62</v>
      </c>
      <c r="C125" s="2">
        <f>B125/28.349523</f>
        <v>2.1869856505169416</v>
      </c>
      <c r="D125" s="2">
        <f>C125/16</f>
        <v>0.13668660315730885</v>
      </c>
      <c r="E125" s="11" t="s">
        <v>870</v>
      </c>
      <c r="F125" s="9">
        <v>40</v>
      </c>
      <c r="G125">
        <v>140</v>
      </c>
      <c r="H125">
        <v>0</v>
      </c>
      <c r="I125" s="10">
        <v>0</v>
      </c>
      <c r="J125" s="6">
        <v>0</v>
      </c>
      <c r="K125" s="6">
        <v>37</v>
      </c>
      <c r="L125" s="6">
        <v>33</v>
      </c>
      <c r="M125" s="6">
        <v>0</v>
      </c>
      <c r="N125" s="6">
        <v>0</v>
      </c>
      <c r="O125" s="2">
        <f>G125/F125</f>
        <v>3.5</v>
      </c>
      <c r="P125" s="42">
        <f>100*4*M125/G125</f>
        <v>0</v>
      </c>
      <c r="Q125" s="9">
        <f>100*9*H125/G125</f>
        <v>0</v>
      </c>
      <c r="R125" s="42">
        <f>100*(I125*9)/G125</f>
        <v>0</v>
      </c>
      <c r="S125" s="29">
        <f>100*K125*4/G125</f>
        <v>105.71428571428571</v>
      </c>
      <c r="T125" s="42">
        <f>100*N125/F125</f>
        <v>0</v>
      </c>
      <c r="U125" s="60">
        <f t="shared" si="23"/>
        <v>1.55</v>
      </c>
      <c r="V125" s="16">
        <f>U125*M125</f>
        <v>0</v>
      </c>
      <c r="W125" s="9">
        <f>U125*H125</f>
        <v>0</v>
      </c>
      <c r="X125" s="9">
        <f>U125*K125</f>
        <v>57.35</v>
      </c>
      <c r="Y125" s="9">
        <f>N125*U125</f>
        <v>0</v>
      </c>
      <c r="Z125">
        <f>U125*J125</f>
        <v>0</v>
      </c>
      <c r="AA125" s="2">
        <f t="shared" si="8"/>
        <v>0</v>
      </c>
      <c r="AB125" s="9" t="s">
        <v>2062</v>
      </c>
      <c r="AC125" s="9"/>
    </row>
    <row r="126" spans="1:28" ht="12.75">
      <c r="A126" s="9">
        <f>G126*U126</f>
        <v>290.5</v>
      </c>
      <c r="B126" s="12">
        <v>83</v>
      </c>
      <c r="C126" s="2">
        <f t="shared" si="19"/>
        <v>2.927738854724293</v>
      </c>
      <c r="D126" s="2">
        <f t="shared" si="20"/>
        <v>0.1829836784202683</v>
      </c>
      <c r="E126" s="11" t="s">
        <v>1843</v>
      </c>
      <c r="F126" s="9">
        <v>40</v>
      </c>
      <c r="G126">
        <v>140</v>
      </c>
      <c r="H126">
        <v>0</v>
      </c>
      <c r="I126" s="10">
        <v>0</v>
      </c>
      <c r="J126" s="6">
        <v>0</v>
      </c>
      <c r="K126" s="6">
        <v>35</v>
      </c>
      <c r="L126" s="6">
        <v>30</v>
      </c>
      <c r="M126" s="6">
        <v>0</v>
      </c>
      <c r="N126" s="6">
        <v>2</v>
      </c>
      <c r="O126" s="44">
        <f>G126/F126</f>
        <v>3.5</v>
      </c>
      <c r="P126" s="42">
        <f>100*4*M126/G126</f>
        <v>0</v>
      </c>
      <c r="Q126" s="42">
        <f>100*9*H126/G126</f>
        <v>0</v>
      </c>
      <c r="R126" s="42">
        <f>100*(I126*9)/G126</f>
        <v>0</v>
      </c>
      <c r="S126" s="46">
        <f>100*K126*4/G126</f>
        <v>100</v>
      </c>
      <c r="T126" s="35">
        <f>100*N126/F126</f>
        <v>5</v>
      </c>
      <c r="U126" s="60">
        <f t="shared" si="23"/>
        <v>2.075</v>
      </c>
      <c r="V126" s="35">
        <f>U126*M126</f>
        <v>0</v>
      </c>
      <c r="W126" s="35">
        <f>U126*H126</f>
        <v>0</v>
      </c>
      <c r="X126" s="35">
        <f>U126*K126</f>
        <v>72.625</v>
      </c>
      <c r="Y126" s="35">
        <f>N126*U126</f>
        <v>4.15</v>
      </c>
      <c r="Z126" s="34">
        <f>U126*J126</f>
        <v>0</v>
      </c>
      <c r="AA126" s="44">
        <f t="shared" si="8"/>
        <v>0</v>
      </c>
      <c r="AB126" s="9" t="s">
        <v>1844</v>
      </c>
    </row>
    <row r="127" spans="1:29" ht="12.75">
      <c r="A127" s="9">
        <f>G127*U127</f>
        <v>480</v>
      </c>
      <c r="B127">
        <v>80</v>
      </c>
      <c r="C127" s="2">
        <f t="shared" si="19"/>
        <v>2.821916968408957</v>
      </c>
      <c r="D127" s="2">
        <f t="shared" si="20"/>
        <v>0.1763698105255598</v>
      </c>
      <c r="E127" s="11" t="s">
        <v>865</v>
      </c>
      <c r="F127" s="9">
        <v>30</v>
      </c>
      <c r="G127">
        <v>180</v>
      </c>
      <c r="H127">
        <v>15</v>
      </c>
      <c r="I127" s="10">
        <v>1</v>
      </c>
      <c r="J127">
        <v>0</v>
      </c>
      <c r="K127">
        <v>5</v>
      </c>
      <c r="L127">
        <v>1</v>
      </c>
      <c r="M127">
        <v>7</v>
      </c>
      <c r="N127">
        <v>3</v>
      </c>
      <c r="O127" s="2">
        <f>G127/F127</f>
        <v>6</v>
      </c>
      <c r="P127" s="16">
        <f>100*4*M127/G127</f>
        <v>15.555555555555555</v>
      </c>
      <c r="Q127" s="29">
        <f>100*9*H127/G127</f>
        <v>75</v>
      </c>
      <c r="R127" s="42">
        <f>100*(I127*9)/G127</f>
        <v>5</v>
      </c>
      <c r="S127" s="16">
        <f t="shared" si="18"/>
        <v>11.11111111111111</v>
      </c>
      <c r="T127" s="29">
        <f>100*N127/F127</f>
        <v>10</v>
      </c>
      <c r="U127" s="60">
        <f t="shared" si="23"/>
        <v>2.6666666666666665</v>
      </c>
      <c r="V127" s="9">
        <f>U127*M127</f>
        <v>18.666666666666664</v>
      </c>
      <c r="W127" s="9">
        <f>U127*H127</f>
        <v>40</v>
      </c>
      <c r="X127" s="9">
        <f>U127*K127</f>
        <v>13.333333333333332</v>
      </c>
      <c r="Y127" s="9">
        <f>N127*U127</f>
        <v>8</v>
      </c>
      <c r="Z127">
        <f>U127*J127</f>
        <v>0</v>
      </c>
      <c r="AA127" s="2">
        <f t="shared" si="8"/>
        <v>2.6666666666666665</v>
      </c>
      <c r="AB127" s="9" t="s">
        <v>527</v>
      </c>
      <c r="AC127" s="9"/>
    </row>
    <row r="128" spans="1:27" ht="12.75">
      <c r="A128" s="9">
        <f>SUM(A113:A127)</f>
        <v>6648.735609243698</v>
      </c>
      <c r="B128" s="9">
        <f>SUM(B113:B127)</f>
        <v>1534</v>
      </c>
      <c r="C128" s="9">
        <f>SUM(C113:C127)</f>
        <v>54.110257869241764</v>
      </c>
      <c r="D128" s="2">
        <f>C128/16</f>
        <v>3.3818911168276102</v>
      </c>
      <c r="E128" s="11" t="s">
        <v>1507</v>
      </c>
      <c r="J128" s="3"/>
      <c r="K128" s="3"/>
      <c r="L128" s="3"/>
      <c r="M128" s="9"/>
      <c r="O128" s="3"/>
      <c r="V128" s="9">
        <f aca="true" t="shared" si="24" ref="V128:AA128">SUM(V113:V127)</f>
        <v>271.80059523809524</v>
      </c>
      <c r="W128" s="9">
        <f t="shared" si="24"/>
        <v>232.22767857142856</v>
      </c>
      <c r="X128" s="9">
        <f t="shared" si="24"/>
        <v>889.3484593837536</v>
      </c>
      <c r="Y128" s="9">
        <f t="shared" si="24"/>
        <v>45.80625</v>
      </c>
      <c r="Z128" s="9">
        <f t="shared" si="24"/>
        <v>310.3169642857143</v>
      </c>
      <c r="AA128" s="9">
        <f t="shared" si="24"/>
        <v>60.45238095238095</v>
      </c>
    </row>
    <row r="129" spans="3:28" ht="12.75">
      <c r="C129" s="2"/>
      <c r="D129" s="2"/>
      <c r="E129" s="12"/>
      <c r="F129">
        <v>1.8</v>
      </c>
      <c r="G129" t="s">
        <v>534</v>
      </c>
      <c r="I129" s="34">
        <f>A128/F129</f>
        <v>3693.7420051353874</v>
      </c>
      <c r="J129" t="s">
        <v>536</v>
      </c>
      <c r="L129" s="9">
        <f>V128/F129</f>
        <v>151.00033068783068</v>
      </c>
      <c r="M129" t="s">
        <v>535</v>
      </c>
      <c r="O129">
        <f>Y128/F129</f>
        <v>25.447916666666664</v>
      </c>
      <c r="P129" t="s">
        <v>554</v>
      </c>
      <c r="R129" s="2">
        <f>AA128/F129</f>
        <v>33.58465608465608</v>
      </c>
      <c r="S129" t="s">
        <v>555</v>
      </c>
      <c r="V129" s="35">
        <f>4*V128</f>
        <v>1087.202380952381</v>
      </c>
      <c r="W129" s="35">
        <f>9*W128</f>
        <v>2090.049107142857</v>
      </c>
      <c r="X129" s="35">
        <f>4*X128</f>
        <v>3557.3938375350144</v>
      </c>
      <c r="AA129" s="44">
        <f>9*AA128</f>
        <v>544.0714285714286</v>
      </c>
      <c r="AB129" t="s">
        <v>697</v>
      </c>
    </row>
    <row r="130" spans="2:28" ht="12.75">
      <c r="B130" s="9">
        <f>B131-B128</f>
        <v>81</v>
      </c>
      <c r="C130" s="2">
        <f>B130/28.349523</f>
        <v>2.857190930514069</v>
      </c>
      <c r="D130" s="2">
        <f>C130/16</f>
        <v>0.17857443315712931</v>
      </c>
      <c r="E130" s="11" t="s">
        <v>868</v>
      </c>
      <c r="V130" s="9">
        <f>V129*100/A128</f>
        <v>16.352017057812464</v>
      </c>
      <c r="W130" s="9">
        <f>100*W129/A128</f>
        <v>31.435286797042643</v>
      </c>
      <c r="X130" s="9">
        <f>X129*100/A128</f>
        <v>53.50481725561761</v>
      </c>
      <c r="Y130" s="2">
        <f>100*Y128/A128</f>
        <v>0.6889467816454582</v>
      </c>
      <c r="AA130" s="3">
        <f>100*AA129/A128</f>
        <v>8.183081123198962</v>
      </c>
      <c r="AB130" t="s">
        <v>1786</v>
      </c>
    </row>
    <row r="131" spans="2:11" ht="12.75">
      <c r="B131" s="9">
        <f>224+1391</f>
        <v>1615</v>
      </c>
      <c r="C131" s="2">
        <f>B131/28.349523</f>
        <v>56.967448799755815</v>
      </c>
      <c r="D131" s="2">
        <f>C131/16</f>
        <v>3.5604655499847384</v>
      </c>
      <c r="E131" s="12" t="s">
        <v>869</v>
      </c>
      <c r="K131" s="33" t="s">
        <v>587</v>
      </c>
    </row>
    <row r="132" spans="1:12" ht="12.75">
      <c r="A132" s="93">
        <v>5555</v>
      </c>
      <c r="B132" s="93"/>
      <c r="C132" s="94"/>
      <c r="D132" s="94"/>
      <c r="E132" s="126" t="s">
        <v>1917</v>
      </c>
      <c r="L132" t="s">
        <v>586</v>
      </c>
    </row>
    <row r="133" spans="1:12" ht="12.75">
      <c r="A133" s="93">
        <f>A132-A128</f>
        <v>-1093.7356092436976</v>
      </c>
      <c r="B133" s="93"/>
      <c r="C133" s="93"/>
      <c r="D133" s="92"/>
      <c r="E133" s="92" t="s">
        <v>1497</v>
      </c>
      <c r="L133" t="s">
        <v>1781</v>
      </c>
    </row>
    <row r="134" ht="12.75">
      <c r="L134" t="s">
        <v>1796</v>
      </c>
    </row>
    <row r="135" spans="2:12" ht="12.75">
      <c r="B135" s="9"/>
      <c r="C135" s="2"/>
      <c r="D135" s="2"/>
      <c r="E135" s="11"/>
      <c r="L135" s="27" t="s">
        <v>1789</v>
      </c>
    </row>
    <row r="136" ht="12.75">
      <c r="E136" s="12"/>
    </row>
    <row r="137" spans="5:28" ht="12.75">
      <c r="E137" s="12"/>
      <c r="F137" s="28"/>
      <c r="G137" s="1"/>
      <c r="H137" s="1"/>
      <c r="I137" s="1"/>
      <c r="J137" s="1"/>
      <c r="K137" s="1"/>
      <c r="L137" s="1"/>
      <c r="M137" s="1"/>
      <c r="N137" s="1"/>
      <c r="O137" s="1"/>
      <c r="P137" s="1"/>
      <c r="Q137" s="1"/>
      <c r="R137" s="1"/>
      <c r="S137" s="1"/>
      <c r="T137" s="1"/>
      <c r="U137" s="1"/>
      <c r="V137" s="1"/>
      <c r="W137" s="1"/>
      <c r="X137" s="1"/>
      <c r="Y137" s="1"/>
      <c r="Z137" s="1"/>
      <c r="AA137" s="1"/>
      <c r="AB137" s="1"/>
    </row>
    <row r="138" spans="1:29" ht="12.75">
      <c r="A138" s="9"/>
      <c r="C138" s="2"/>
      <c r="D138" s="2"/>
      <c r="E138" s="11"/>
      <c r="F138" s="9"/>
      <c r="G138" s="6"/>
      <c r="I138" s="6"/>
      <c r="O138" s="2"/>
      <c r="P138" s="9"/>
      <c r="Q138" s="9"/>
      <c r="R138" s="29"/>
      <c r="S138" s="16"/>
      <c r="T138" s="9"/>
      <c r="U138" s="2"/>
      <c r="V138" s="9"/>
      <c r="W138" s="9"/>
      <c r="X138" s="9"/>
      <c r="Y138" s="9"/>
      <c r="AA138" s="2"/>
      <c r="AC138" s="9"/>
    </row>
    <row r="139" spans="2:29" ht="12.75">
      <c r="B139" s="9"/>
      <c r="C139" s="2"/>
      <c r="D139" s="2"/>
      <c r="E139" s="11"/>
      <c r="F139" s="9"/>
      <c r="O139" s="2"/>
      <c r="P139" s="9"/>
      <c r="Q139" s="9"/>
      <c r="R139" s="16"/>
      <c r="S139" s="29"/>
      <c r="T139" s="9"/>
      <c r="U139" s="2"/>
      <c r="V139" s="9"/>
      <c r="W139" s="9"/>
      <c r="X139" s="9"/>
      <c r="Y139" s="9"/>
      <c r="AA139" s="9"/>
      <c r="AB139" s="9"/>
      <c r="AC139" s="9"/>
    </row>
    <row r="140" spans="2:29" ht="12.75">
      <c r="B140" s="9"/>
      <c r="C140" s="2"/>
      <c r="D140" s="2"/>
      <c r="E140" s="11"/>
      <c r="F140" s="9"/>
      <c r="O140" s="2"/>
      <c r="P140" s="9"/>
      <c r="Q140" s="9"/>
      <c r="R140" s="16"/>
      <c r="S140" s="9"/>
      <c r="T140" s="9"/>
      <c r="U140" s="2"/>
      <c r="V140" s="9"/>
      <c r="W140" s="9"/>
      <c r="X140" s="9"/>
      <c r="Y140" s="9"/>
      <c r="AA140" s="9"/>
      <c r="AB140" s="9"/>
      <c r="AC140" s="9"/>
    </row>
    <row r="141" spans="1:27" ht="12.75">
      <c r="A141" s="9"/>
      <c r="B141" s="12"/>
      <c r="C141" s="2"/>
      <c r="D141" s="2"/>
      <c r="E141" s="11"/>
      <c r="F141" s="9"/>
      <c r="O141" s="32"/>
      <c r="P141" s="9"/>
      <c r="Q141" s="29"/>
      <c r="R141" s="29"/>
      <c r="S141" s="9"/>
      <c r="T141" s="9"/>
      <c r="U141" s="2"/>
      <c r="V141" s="9"/>
      <c r="W141" s="9"/>
      <c r="X141" s="9"/>
      <c r="Y141" s="9"/>
      <c r="AA141" s="9"/>
    </row>
    <row r="142" spans="3:29" ht="12.75">
      <c r="C142" s="2"/>
      <c r="D142" s="2"/>
      <c r="E142" s="11"/>
      <c r="F142" s="9"/>
      <c r="O142" s="32"/>
      <c r="P142" s="9"/>
      <c r="Q142" s="9"/>
      <c r="R142" s="29"/>
      <c r="S142" s="9"/>
      <c r="T142" s="9"/>
      <c r="U142" s="2"/>
      <c r="V142" s="9"/>
      <c r="W142" s="9"/>
      <c r="X142" s="9"/>
      <c r="Y142" s="9"/>
      <c r="AA142" s="9"/>
      <c r="AB142" s="9"/>
      <c r="AC142" s="9"/>
    </row>
    <row r="143" spans="3:29" ht="12.75">
      <c r="C143" s="2"/>
      <c r="D143" s="2"/>
      <c r="E143" s="11"/>
      <c r="F143" s="9"/>
      <c r="O143" s="32"/>
      <c r="P143" s="9"/>
      <c r="Q143" s="29"/>
      <c r="R143" s="16"/>
      <c r="S143" s="9"/>
      <c r="T143" s="9"/>
      <c r="U143" s="2"/>
      <c r="V143" s="9"/>
      <c r="W143" s="9"/>
      <c r="X143" s="9"/>
      <c r="Y143" s="9"/>
      <c r="AA143" s="9"/>
      <c r="AB143" s="9"/>
      <c r="AC143" s="9"/>
    </row>
    <row r="144" spans="3:29" ht="12.75">
      <c r="C144" s="2"/>
      <c r="D144" s="2"/>
      <c r="E144" s="11"/>
      <c r="F144" s="9"/>
      <c r="O144" s="2"/>
      <c r="P144" s="9"/>
      <c r="Q144" s="9"/>
      <c r="R144" s="16"/>
      <c r="S144" s="29"/>
      <c r="T144" s="9"/>
      <c r="U144" s="2"/>
      <c r="V144" s="9"/>
      <c r="W144" s="9"/>
      <c r="X144" s="9"/>
      <c r="Y144" s="9"/>
      <c r="AA144" s="9"/>
      <c r="AB144" s="9"/>
      <c r="AC144" s="9"/>
    </row>
    <row r="145" spans="1:29" ht="12.75">
      <c r="A145" s="9"/>
      <c r="C145" s="2"/>
      <c r="D145" s="2"/>
      <c r="E145" s="11"/>
      <c r="F145" s="9"/>
      <c r="I145" s="6"/>
      <c r="O145" s="2"/>
      <c r="P145" s="29"/>
      <c r="Q145" s="9"/>
      <c r="R145" s="29"/>
      <c r="S145" s="16"/>
      <c r="T145" s="29"/>
      <c r="U145" s="2"/>
      <c r="V145" s="16"/>
      <c r="W145" s="9"/>
      <c r="X145" s="9"/>
      <c r="Y145" s="16"/>
      <c r="AA145" s="2"/>
      <c r="AB145" s="11"/>
      <c r="AC145" s="9"/>
    </row>
    <row r="146" spans="1:29" ht="12.75">
      <c r="A146" s="9"/>
      <c r="C146" s="2"/>
      <c r="D146" s="2"/>
      <c r="E146" s="11"/>
      <c r="F146" s="9"/>
      <c r="O146" s="2"/>
      <c r="P146" s="29"/>
      <c r="Q146" s="9"/>
      <c r="R146" s="16"/>
      <c r="S146" s="9"/>
      <c r="T146" s="9"/>
      <c r="U146" s="2"/>
      <c r="V146" s="9"/>
      <c r="W146" s="9"/>
      <c r="X146" s="9"/>
      <c r="Y146" s="9"/>
      <c r="AA146" s="9"/>
      <c r="AB146" s="9"/>
      <c r="AC146" s="9"/>
    </row>
    <row r="147" spans="1:29" ht="12.75">
      <c r="A147" s="9"/>
      <c r="C147" s="2"/>
      <c r="D147" s="2"/>
      <c r="E147" s="11"/>
      <c r="F147" s="9"/>
      <c r="I147" s="6"/>
      <c r="O147" s="10"/>
      <c r="P147" s="9"/>
      <c r="Q147" s="29"/>
      <c r="R147" s="16"/>
      <c r="S147" s="16"/>
      <c r="T147" s="16"/>
      <c r="U147" s="2"/>
      <c r="V147" s="9"/>
      <c r="W147" s="9"/>
      <c r="X147" s="9"/>
      <c r="Y147" s="9"/>
      <c r="Z147" s="9"/>
      <c r="AA147" s="2"/>
      <c r="AB147" s="9"/>
      <c r="AC147" s="9"/>
    </row>
    <row r="148" spans="1:29" ht="12.75">
      <c r="A148" s="9"/>
      <c r="C148" s="2"/>
      <c r="D148" s="2"/>
      <c r="E148" s="11"/>
      <c r="F148" s="9"/>
      <c r="I148" s="6"/>
      <c r="O148" s="32"/>
      <c r="P148" s="9"/>
      <c r="Q148" s="29"/>
      <c r="R148" s="16"/>
      <c r="S148" s="9"/>
      <c r="T148" s="29"/>
      <c r="U148" s="2"/>
      <c r="V148" s="9"/>
      <c r="W148" s="9"/>
      <c r="X148" s="9"/>
      <c r="Y148" s="9"/>
      <c r="Z148" s="9"/>
      <c r="AA148" s="9"/>
      <c r="AB148" s="9"/>
      <c r="AC148" s="9"/>
    </row>
    <row r="149" spans="1:29" ht="12.75">
      <c r="A149" s="9"/>
      <c r="C149" s="2"/>
      <c r="D149" s="2"/>
      <c r="E149" s="11"/>
      <c r="F149" s="9"/>
      <c r="I149" s="6"/>
      <c r="O149" s="2"/>
      <c r="P149" s="29"/>
      <c r="Q149" s="9"/>
      <c r="R149" s="29"/>
      <c r="S149" s="9"/>
      <c r="T149" s="9"/>
      <c r="U149" s="2"/>
      <c r="V149" s="16"/>
      <c r="W149" s="9"/>
      <c r="X149" s="9"/>
      <c r="Y149" s="9"/>
      <c r="AB149" s="9"/>
      <c r="AC149" s="9"/>
    </row>
    <row r="150" spans="1:29" ht="12.75">
      <c r="A150" s="9"/>
      <c r="C150" s="2"/>
      <c r="D150" s="2"/>
      <c r="E150" s="11"/>
      <c r="F150" s="9"/>
      <c r="I150" s="6"/>
      <c r="O150" s="2"/>
      <c r="P150" s="9"/>
      <c r="Q150" s="29"/>
      <c r="R150" s="16"/>
      <c r="S150" s="9"/>
      <c r="T150" s="29"/>
      <c r="U150" s="2"/>
      <c r="V150" s="9"/>
      <c r="W150" s="9"/>
      <c r="X150" s="9"/>
      <c r="Y150" s="9"/>
      <c r="AA150" s="9"/>
      <c r="AB150" s="9"/>
      <c r="AC150" s="9"/>
    </row>
    <row r="151" spans="1:27" ht="12.75">
      <c r="A151" s="9"/>
      <c r="C151" s="9"/>
      <c r="D151" s="2"/>
      <c r="E151" s="11"/>
      <c r="J151" s="3"/>
      <c r="K151" s="3"/>
      <c r="L151" s="3"/>
      <c r="M151" s="9"/>
      <c r="O151" s="3"/>
      <c r="V151" s="9"/>
      <c r="W151" s="9"/>
      <c r="X151" s="9"/>
      <c r="Y151" s="9"/>
      <c r="Z151" s="9"/>
      <c r="AA151" s="9"/>
    </row>
    <row r="152" spans="2:5" ht="12.75">
      <c r="B152" s="9"/>
      <c r="E152" s="11"/>
    </row>
    <row r="153" spans="1:5" ht="12.75">
      <c r="A153" s="9"/>
      <c r="B153" s="9"/>
      <c r="E153" s="12"/>
    </row>
    <row r="154" spans="1:5" ht="12.75">
      <c r="A154" s="9"/>
      <c r="E154" s="12"/>
    </row>
    <row r="155" spans="2:6" ht="12.75">
      <c r="B155" s="9"/>
      <c r="C155" s="2"/>
      <c r="D155" s="2"/>
      <c r="E155" s="11"/>
      <c r="F155" s="3"/>
    </row>
    <row r="156" spans="2:6" ht="12.75">
      <c r="B156" s="9"/>
      <c r="C156" s="2"/>
      <c r="D156" s="2"/>
      <c r="E156" s="11"/>
      <c r="F156" s="3"/>
    </row>
  </sheetData>
  <printOptions/>
  <pageMargins left="0.75" right="0.75" top="1" bottom="1" header="0.5" footer="0.5"/>
  <pageSetup orientation="portrait" r:id="rId1"/>
  <ignoredErrors>
    <ignoredError sqref="W129 B115" formula="1"/>
  </ignoredErrors>
</worksheet>
</file>

<file path=xl/worksheets/sheet21.xml><?xml version="1.0" encoding="utf-8"?>
<worksheet xmlns="http://schemas.openxmlformats.org/spreadsheetml/2006/main" xmlns:r="http://schemas.openxmlformats.org/officeDocument/2006/relationships">
  <dimension ref="A1:AC165"/>
  <sheetViews>
    <sheetView workbookViewId="0" topLeftCell="A1">
      <pane ySplit="1" topLeftCell="BM5" activePane="bottomLeft" state="frozen"/>
      <selection pane="topLeft" activeCell="A1" sqref="A1"/>
      <selection pane="bottomLeft" activeCell="E38" sqref="E38"/>
    </sheetView>
  </sheetViews>
  <sheetFormatPr defaultColWidth="9.140625" defaultRowHeight="12.75"/>
  <cols>
    <col min="1" max="1" width="6.28125" style="0" customWidth="1"/>
    <col min="2" max="2" width="6.140625" style="0" customWidth="1"/>
    <col min="3" max="3" width="5.57421875" style="0" customWidth="1"/>
    <col min="4" max="4" width="5.7109375" style="0" customWidth="1"/>
    <col min="5" max="5" width="55.140625" style="12" customWidth="1"/>
    <col min="6" max="6" width="4.7109375" style="0" customWidth="1"/>
    <col min="7" max="7" width="4.00390625" style="0" customWidth="1"/>
    <col min="8" max="8" width="3.8515625" style="0" customWidth="1"/>
    <col min="9" max="10" width="4.140625" style="0" customWidth="1"/>
    <col min="11" max="11" width="3.57421875" style="0" customWidth="1"/>
    <col min="12" max="12" width="3.7109375" style="0" customWidth="1"/>
    <col min="13" max="13" width="3.28125" style="0" customWidth="1"/>
    <col min="14" max="14" width="3.57421875" style="0" customWidth="1"/>
    <col min="15" max="15" width="3.7109375" style="0" customWidth="1"/>
    <col min="16" max="16" width="3.421875" style="0" customWidth="1"/>
    <col min="17" max="17" width="3.7109375" style="0" customWidth="1"/>
    <col min="18" max="19" width="2.8515625" style="0" customWidth="1"/>
    <col min="20" max="20" width="3.00390625" style="0" customWidth="1"/>
    <col min="21" max="21" width="4.7109375" style="0" customWidth="1"/>
    <col min="22" max="24" width="4.140625" style="0" customWidth="1"/>
    <col min="25" max="25" width="3.8515625" style="0" customWidth="1"/>
    <col min="26" max="26" width="4.140625" style="0" customWidth="1"/>
    <col min="27" max="27" width="4.7109375" style="0" customWidth="1"/>
  </cols>
  <sheetData>
    <row r="1" spans="1:6" ht="12.75">
      <c r="A1" t="s">
        <v>697</v>
      </c>
      <c r="B1" t="s">
        <v>1603</v>
      </c>
      <c r="C1" t="s">
        <v>2074</v>
      </c>
      <c r="D1" t="s">
        <v>1242</v>
      </c>
      <c r="E1" s="12" t="s">
        <v>2075</v>
      </c>
      <c r="F1" s="12" t="s">
        <v>346</v>
      </c>
    </row>
    <row r="2" spans="2:4" ht="12.75">
      <c r="B2" s="9"/>
      <c r="C2" s="2"/>
      <c r="D2" s="2"/>
    </row>
    <row r="3" spans="2:6" ht="12.75">
      <c r="B3" s="57" t="s">
        <v>2055</v>
      </c>
      <c r="C3" s="55" t="s">
        <v>2056</v>
      </c>
      <c r="D3" s="55" t="s">
        <v>2057</v>
      </c>
      <c r="E3" s="96"/>
      <c r="F3" s="54"/>
    </row>
    <row r="4" spans="2:17" ht="12.75">
      <c r="B4" s="57"/>
      <c r="C4" s="55"/>
      <c r="D4" s="55"/>
      <c r="E4" s="54" t="s">
        <v>383</v>
      </c>
      <c r="F4" s="54" t="s">
        <v>231</v>
      </c>
      <c r="G4" s="66"/>
      <c r="H4" s="54"/>
      <c r="I4" s="55"/>
      <c r="J4" s="54"/>
      <c r="K4" s="54"/>
      <c r="L4" s="54"/>
      <c r="M4" s="54"/>
      <c r="N4" s="54"/>
      <c r="O4" s="54"/>
      <c r="P4" s="54"/>
      <c r="Q4" s="54"/>
    </row>
    <row r="5" spans="2:17" ht="12.75">
      <c r="B5" s="57"/>
      <c r="C5" s="55"/>
      <c r="D5" s="55"/>
      <c r="E5" s="96" t="s">
        <v>1799</v>
      </c>
      <c r="F5" s="54"/>
      <c r="G5" s="66"/>
      <c r="H5" s="54"/>
      <c r="I5" s="54"/>
      <c r="J5" s="54"/>
      <c r="K5" s="54"/>
      <c r="L5" s="54"/>
      <c r="M5" s="54"/>
      <c r="N5" s="54"/>
      <c r="O5" s="54"/>
      <c r="P5" s="54"/>
      <c r="Q5" s="54"/>
    </row>
    <row r="6" spans="2:17" ht="12.75">
      <c r="B6" s="61"/>
      <c r="C6" s="55"/>
      <c r="D6" s="55"/>
      <c r="E6" s="59" t="s">
        <v>2054</v>
      </c>
      <c r="F6" s="54"/>
      <c r="G6" s="66"/>
      <c r="H6" s="54"/>
      <c r="I6" s="54"/>
      <c r="J6" s="54"/>
      <c r="K6" s="54"/>
      <c r="L6" s="54"/>
      <c r="M6" s="54"/>
      <c r="N6" s="54"/>
      <c r="O6" s="54"/>
      <c r="P6" s="54"/>
      <c r="Q6" s="54"/>
    </row>
    <row r="7" spans="2:17" ht="12.75">
      <c r="B7" s="61"/>
      <c r="C7" s="55"/>
      <c r="D7" s="55"/>
      <c r="E7" s="96" t="s">
        <v>2146</v>
      </c>
      <c r="F7" s="54"/>
      <c r="G7" s="66"/>
      <c r="H7" s="54"/>
      <c r="I7" s="54"/>
      <c r="J7" s="54"/>
      <c r="K7" s="54"/>
      <c r="L7" s="54"/>
      <c r="M7" s="54"/>
      <c r="N7" s="54"/>
      <c r="O7" s="54"/>
      <c r="P7" s="54"/>
      <c r="Q7" s="54"/>
    </row>
    <row r="8" spans="2:17" ht="12.75">
      <c r="B8" s="57"/>
      <c r="C8" s="55"/>
      <c r="D8" s="55"/>
      <c r="E8" s="54" t="s">
        <v>56</v>
      </c>
      <c r="F8" s="54"/>
      <c r="G8" s="66"/>
      <c r="H8" s="54"/>
      <c r="I8" s="54"/>
      <c r="J8" s="54"/>
      <c r="K8" s="54"/>
      <c r="L8" s="54"/>
      <c r="M8" s="54"/>
      <c r="N8" s="54"/>
      <c r="O8" s="54"/>
      <c r="P8" s="54"/>
      <c r="Q8" s="54"/>
    </row>
    <row r="9" spans="2:17" ht="12.75">
      <c r="B9" s="57"/>
      <c r="C9" s="55"/>
      <c r="D9" s="55"/>
      <c r="E9" s="56" t="s">
        <v>2028</v>
      </c>
      <c r="F9" s="54"/>
      <c r="G9" s="66"/>
      <c r="H9" s="54"/>
      <c r="I9" s="54"/>
      <c r="J9" s="54"/>
      <c r="K9" s="54"/>
      <c r="L9" s="54"/>
      <c r="M9" s="54"/>
      <c r="N9" s="54"/>
      <c r="O9" s="54"/>
      <c r="P9" s="54"/>
      <c r="Q9" s="54"/>
    </row>
    <row r="10" spans="2:17" s="6" customFormat="1" ht="12.75">
      <c r="B10" s="61"/>
      <c r="C10" s="86"/>
      <c r="D10" s="86"/>
      <c r="E10" s="99" t="s">
        <v>384</v>
      </c>
      <c r="F10" s="62" t="s">
        <v>231</v>
      </c>
      <c r="G10" s="102"/>
      <c r="H10" s="62"/>
      <c r="I10" s="62"/>
      <c r="J10" s="62"/>
      <c r="K10" s="62"/>
      <c r="L10" s="62"/>
      <c r="M10" s="62"/>
      <c r="N10" s="62"/>
      <c r="O10" s="62"/>
      <c r="P10" s="62"/>
      <c r="Q10" s="62"/>
    </row>
    <row r="11" spans="2:17" ht="12.75">
      <c r="B11" s="57"/>
      <c r="C11" s="55"/>
      <c r="D11" s="55"/>
      <c r="E11" s="54" t="s">
        <v>385</v>
      </c>
      <c r="F11" s="54" t="s">
        <v>231</v>
      </c>
      <c r="G11" s="66"/>
      <c r="H11" s="54"/>
      <c r="I11" s="54"/>
      <c r="J11" s="54"/>
      <c r="K11" s="54"/>
      <c r="L11" s="54"/>
      <c r="M11" s="54"/>
      <c r="N11" s="54"/>
      <c r="O11" s="54"/>
      <c r="P11" s="54"/>
      <c r="Q11" s="54"/>
    </row>
    <row r="12" spans="2:17" ht="12.75">
      <c r="B12" s="57"/>
      <c r="C12" s="55"/>
      <c r="D12" s="55"/>
      <c r="E12" s="56" t="s">
        <v>1159</v>
      </c>
      <c r="F12" s="54"/>
      <c r="G12" s="66"/>
      <c r="H12" s="54"/>
      <c r="I12" s="54"/>
      <c r="J12" s="54"/>
      <c r="K12" s="54"/>
      <c r="L12" s="54"/>
      <c r="M12" s="54"/>
      <c r="N12" s="54"/>
      <c r="O12" s="54"/>
      <c r="P12" s="54"/>
      <c r="Q12" s="54"/>
    </row>
    <row r="13" spans="2:17" ht="12.75">
      <c r="B13" s="57"/>
      <c r="C13" s="55"/>
      <c r="D13" s="55"/>
      <c r="E13" s="56" t="s">
        <v>1160</v>
      </c>
      <c r="F13" s="54"/>
      <c r="G13" s="66"/>
      <c r="H13" s="54"/>
      <c r="I13" s="54"/>
      <c r="J13" s="54"/>
      <c r="K13" s="54"/>
      <c r="L13" s="54"/>
      <c r="M13" s="54"/>
      <c r="N13" s="54"/>
      <c r="O13" s="54"/>
      <c r="P13" s="54"/>
      <c r="Q13" s="54"/>
    </row>
    <row r="14" spans="2:17" ht="12.75">
      <c r="B14" s="57"/>
      <c r="C14" s="55"/>
      <c r="D14" s="55"/>
      <c r="E14" s="56" t="s">
        <v>1161</v>
      </c>
      <c r="F14" s="54"/>
      <c r="G14" s="66"/>
      <c r="H14" s="54"/>
      <c r="I14" s="54"/>
      <c r="J14" s="54"/>
      <c r="K14" s="54"/>
      <c r="L14" s="54"/>
      <c r="M14" s="54"/>
      <c r="N14" s="54"/>
      <c r="O14" s="54"/>
      <c r="P14" s="54"/>
      <c r="Q14" s="54"/>
    </row>
    <row r="15" spans="2:17" ht="12.75">
      <c r="B15" s="57"/>
      <c r="C15" s="55"/>
      <c r="D15" s="55"/>
      <c r="E15" s="56" t="s">
        <v>1172</v>
      </c>
      <c r="F15" s="54"/>
      <c r="G15" s="66"/>
      <c r="H15" s="54"/>
      <c r="I15" s="54"/>
      <c r="J15" s="54"/>
      <c r="K15" s="54"/>
      <c r="L15" s="54"/>
      <c r="M15" s="54"/>
      <c r="N15" s="54"/>
      <c r="O15" s="54"/>
      <c r="P15" s="54"/>
      <c r="Q15" s="54"/>
    </row>
    <row r="16" spans="2:17" ht="12.75">
      <c r="B16" s="57"/>
      <c r="C16" s="55"/>
      <c r="D16" s="55"/>
      <c r="E16" s="56" t="s">
        <v>386</v>
      </c>
      <c r="F16" s="54" t="s">
        <v>231</v>
      </c>
      <c r="G16" s="66"/>
      <c r="H16" s="54"/>
      <c r="I16" s="54"/>
      <c r="J16" s="54"/>
      <c r="K16" s="54"/>
      <c r="L16" s="54"/>
      <c r="M16" s="54"/>
      <c r="N16" s="54"/>
      <c r="O16" s="54"/>
      <c r="P16" s="54"/>
      <c r="Q16" s="54"/>
    </row>
    <row r="17" spans="2:29" ht="12.75">
      <c r="B17" s="57"/>
      <c r="C17" s="55"/>
      <c r="D17" s="55"/>
      <c r="E17" s="56" t="s">
        <v>387</v>
      </c>
      <c r="F17" s="54" t="s">
        <v>231</v>
      </c>
      <c r="G17" s="66"/>
      <c r="H17" s="54"/>
      <c r="I17" s="54"/>
      <c r="J17" s="54"/>
      <c r="K17" s="54"/>
      <c r="L17" s="54"/>
      <c r="M17" s="54"/>
      <c r="N17" s="54"/>
      <c r="O17" s="54"/>
      <c r="P17" s="54"/>
      <c r="Q17" s="54"/>
      <c r="AC17" s="9"/>
    </row>
    <row r="18" spans="2:29" ht="12.75">
      <c r="B18" s="57"/>
      <c r="C18" s="55"/>
      <c r="D18" s="55"/>
      <c r="E18" s="54" t="s">
        <v>682</v>
      </c>
      <c r="F18" s="54"/>
      <c r="G18" s="66"/>
      <c r="H18" s="54"/>
      <c r="I18" s="54"/>
      <c r="J18" s="54"/>
      <c r="K18" s="54"/>
      <c r="L18" s="54"/>
      <c r="M18" s="54"/>
      <c r="N18" s="54"/>
      <c r="O18" s="54"/>
      <c r="P18" s="54"/>
      <c r="Q18" s="54"/>
      <c r="AC18" s="9"/>
    </row>
    <row r="19" spans="2:17" ht="12.75">
      <c r="B19" s="54"/>
      <c r="C19" s="54"/>
      <c r="D19" s="54"/>
      <c r="E19" s="56" t="s">
        <v>1163</v>
      </c>
      <c r="F19" s="54"/>
      <c r="G19" s="66"/>
      <c r="H19" s="54"/>
      <c r="I19" s="54"/>
      <c r="J19" s="54"/>
      <c r="K19" s="54"/>
      <c r="L19" s="54"/>
      <c r="M19" s="54"/>
      <c r="N19" s="54"/>
      <c r="O19" s="54"/>
      <c r="P19" s="54"/>
      <c r="Q19" s="54"/>
    </row>
    <row r="20" spans="2:29" ht="12.75">
      <c r="B20" s="57"/>
      <c r="C20" s="55"/>
      <c r="D20" s="55"/>
      <c r="E20" s="54" t="s">
        <v>388</v>
      </c>
      <c r="F20" s="54" t="s">
        <v>231</v>
      </c>
      <c r="G20" s="103"/>
      <c r="H20" s="87"/>
      <c r="I20" s="87"/>
      <c r="J20" s="54"/>
      <c r="K20" s="54"/>
      <c r="L20" s="54"/>
      <c r="M20" s="54"/>
      <c r="N20" s="54"/>
      <c r="O20" s="54"/>
      <c r="P20" s="54"/>
      <c r="Q20" s="54"/>
      <c r="AC20" s="9"/>
    </row>
    <row r="21" spans="2:17" ht="12.75">
      <c r="B21" s="57"/>
      <c r="C21" s="55"/>
      <c r="D21" s="55"/>
      <c r="E21" s="54" t="s">
        <v>389</v>
      </c>
      <c r="F21" s="54" t="s">
        <v>231</v>
      </c>
      <c r="G21" s="66"/>
      <c r="H21" s="54"/>
      <c r="I21" s="54"/>
      <c r="J21" s="54"/>
      <c r="K21" s="54"/>
      <c r="L21" s="54"/>
      <c r="M21" s="54"/>
      <c r="N21" s="54"/>
      <c r="O21" s="54"/>
      <c r="P21" s="54"/>
      <c r="Q21" s="54"/>
    </row>
    <row r="22" spans="2:17" ht="12.75">
      <c r="B22" s="57"/>
      <c r="C22" s="55"/>
      <c r="D22" s="55"/>
      <c r="E22" s="54" t="s">
        <v>390</v>
      </c>
      <c r="F22" s="54" t="s">
        <v>231</v>
      </c>
      <c r="G22" s="66"/>
      <c r="H22" s="54"/>
      <c r="I22" s="54"/>
      <c r="J22" s="54"/>
      <c r="K22" s="54"/>
      <c r="L22" s="54"/>
      <c r="M22" s="54"/>
      <c r="N22" s="54"/>
      <c r="O22" s="54"/>
      <c r="P22" s="54"/>
      <c r="Q22" s="54"/>
    </row>
    <row r="23" spans="2:17" ht="12.75">
      <c r="B23" s="57"/>
      <c r="C23" s="55"/>
      <c r="D23" s="55"/>
      <c r="E23" s="96" t="s">
        <v>391</v>
      </c>
      <c r="F23" s="54" t="s">
        <v>231</v>
      </c>
      <c r="G23" s="66"/>
      <c r="H23" s="54"/>
      <c r="I23" s="54"/>
      <c r="J23" s="54"/>
      <c r="K23" s="54"/>
      <c r="L23" s="54"/>
      <c r="M23" s="54"/>
      <c r="N23" s="54"/>
      <c r="O23" s="54"/>
      <c r="P23" s="54"/>
      <c r="Q23" s="54"/>
    </row>
    <row r="24" spans="2:17" ht="12.75">
      <c r="B24" s="57"/>
      <c r="C24" s="55"/>
      <c r="D24" s="55"/>
      <c r="E24" s="54" t="s">
        <v>392</v>
      </c>
      <c r="F24" s="54" t="s">
        <v>231</v>
      </c>
      <c r="G24" s="66"/>
      <c r="H24" s="54"/>
      <c r="I24" s="54"/>
      <c r="J24" s="54"/>
      <c r="K24" s="54"/>
      <c r="L24" s="54"/>
      <c r="M24" s="54"/>
      <c r="N24" s="54"/>
      <c r="O24" s="54"/>
      <c r="P24" s="54"/>
      <c r="Q24" s="54"/>
    </row>
    <row r="25" spans="2:17" ht="12.75">
      <c r="B25" s="57"/>
      <c r="C25" s="55"/>
      <c r="D25" s="55"/>
      <c r="E25" s="58" t="s">
        <v>2053</v>
      </c>
      <c r="F25" s="54"/>
      <c r="G25" s="66"/>
      <c r="H25" s="54"/>
      <c r="I25" s="54"/>
      <c r="J25" s="54"/>
      <c r="K25" s="54"/>
      <c r="L25" s="54"/>
      <c r="M25" s="54"/>
      <c r="N25" s="54"/>
      <c r="O25" s="54"/>
      <c r="P25" s="54"/>
      <c r="Q25" s="54"/>
    </row>
    <row r="26" spans="2:17" ht="12.75">
      <c r="B26" s="57"/>
      <c r="C26" s="55"/>
      <c r="D26" s="55"/>
      <c r="E26" s="96" t="s">
        <v>2060</v>
      </c>
      <c r="F26" s="54"/>
      <c r="G26" s="66"/>
      <c r="H26" s="54"/>
      <c r="I26" s="54"/>
      <c r="J26" s="54"/>
      <c r="K26" s="54"/>
      <c r="L26" s="54"/>
      <c r="M26" s="54"/>
      <c r="N26" s="54"/>
      <c r="O26" s="54"/>
      <c r="P26" s="54"/>
      <c r="Q26" s="54"/>
    </row>
    <row r="27" spans="2:17" ht="12.75">
      <c r="B27" s="57"/>
      <c r="C27" s="55"/>
      <c r="D27" s="55"/>
      <c r="E27" s="56" t="s">
        <v>2048</v>
      </c>
      <c r="F27" s="54"/>
      <c r="G27" s="66"/>
      <c r="H27" s="54"/>
      <c r="I27" s="54"/>
      <c r="J27" s="54"/>
      <c r="K27" s="54"/>
      <c r="L27" s="54"/>
      <c r="M27" s="54"/>
      <c r="N27" s="54"/>
      <c r="O27" s="54"/>
      <c r="P27" s="54"/>
      <c r="Q27" s="54"/>
    </row>
    <row r="28" spans="2:17" ht="12.75">
      <c r="B28" s="57"/>
      <c r="C28" s="55"/>
      <c r="D28" s="55"/>
      <c r="E28" s="54" t="s">
        <v>1158</v>
      </c>
      <c r="F28" s="54"/>
      <c r="G28" s="66"/>
      <c r="H28" s="54"/>
      <c r="I28" s="54"/>
      <c r="J28" s="54"/>
      <c r="K28" s="54"/>
      <c r="L28" s="54"/>
      <c r="M28" s="54"/>
      <c r="N28" s="54"/>
      <c r="O28" s="54"/>
      <c r="P28" s="54"/>
      <c r="Q28" s="54"/>
    </row>
    <row r="29" spans="2:17" ht="12.75">
      <c r="B29" s="61"/>
      <c r="C29" s="55"/>
      <c r="D29" s="55"/>
      <c r="E29" s="96" t="s">
        <v>1157</v>
      </c>
      <c r="F29" s="54"/>
      <c r="G29" s="66"/>
      <c r="H29" s="54"/>
      <c r="I29" s="54"/>
      <c r="J29" s="54"/>
      <c r="K29" s="54"/>
      <c r="L29" s="54"/>
      <c r="M29" s="54"/>
      <c r="N29" s="54"/>
      <c r="O29" s="54"/>
      <c r="P29" s="54"/>
      <c r="Q29" s="54"/>
    </row>
    <row r="30" spans="2:17" ht="12.75">
      <c r="B30" s="57"/>
      <c r="C30" s="55"/>
      <c r="D30" s="55"/>
      <c r="E30" s="96" t="s">
        <v>1787</v>
      </c>
      <c r="F30" s="54"/>
      <c r="G30" s="66"/>
      <c r="H30" s="54"/>
      <c r="I30" s="54"/>
      <c r="J30" s="54"/>
      <c r="K30" s="54"/>
      <c r="L30" s="54"/>
      <c r="M30" s="54"/>
      <c r="N30" s="54"/>
      <c r="O30" s="54"/>
      <c r="P30" s="54"/>
      <c r="Q30" s="54"/>
    </row>
    <row r="31" spans="2:17" ht="12.75">
      <c r="B31" s="54"/>
      <c r="C31" s="55"/>
      <c r="D31" s="55"/>
      <c r="E31" s="96" t="s">
        <v>1788</v>
      </c>
      <c r="F31" s="54"/>
      <c r="G31" s="66"/>
      <c r="H31" s="54"/>
      <c r="I31" s="54"/>
      <c r="J31" s="55"/>
      <c r="K31" s="54"/>
      <c r="L31" s="54"/>
      <c r="M31" s="54"/>
      <c r="N31" s="54"/>
      <c r="O31" s="54"/>
      <c r="P31" s="54"/>
      <c r="Q31" s="54"/>
    </row>
    <row r="32" spans="2:17" ht="12.75">
      <c r="B32" s="54"/>
      <c r="C32" s="54"/>
      <c r="D32" s="54"/>
      <c r="E32" s="56" t="s">
        <v>1155</v>
      </c>
      <c r="F32" s="54"/>
      <c r="G32" s="66"/>
      <c r="H32" s="54"/>
      <c r="I32" s="54"/>
      <c r="J32" s="54"/>
      <c r="K32" s="54"/>
      <c r="L32" s="54"/>
      <c r="M32" s="54"/>
      <c r="N32" s="54"/>
      <c r="O32" s="54"/>
      <c r="P32" s="54"/>
      <c r="Q32" s="54"/>
    </row>
    <row r="33" spans="2:17" ht="12.75">
      <c r="B33" s="57"/>
      <c r="C33" s="55"/>
      <c r="D33" s="55"/>
      <c r="E33" s="96" t="s">
        <v>1156</v>
      </c>
      <c r="F33" s="54"/>
      <c r="G33" s="66"/>
      <c r="H33" s="54"/>
      <c r="I33" s="54"/>
      <c r="J33" s="54"/>
      <c r="K33" s="54"/>
      <c r="L33" s="54"/>
      <c r="M33" s="54"/>
      <c r="N33" s="54"/>
      <c r="O33" s="54"/>
      <c r="P33" s="54"/>
      <c r="Q33" s="54"/>
    </row>
    <row r="34" spans="2:17" ht="12.75">
      <c r="B34" s="57"/>
      <c r="C34" s="55"/>
      <c r="D34" s="55"/>
      <c r="E34" s="96" t="s">
        <v>932</v>
      </c>
      <c r="F34" s="54" t="s">
        <v>231</v>
      </c>
      <c r="G34" s="66"/>
      <c r="H34" s="54"/>
      <c r="I34" s="54"/>
      <c r="J34" s="54"/>
      <c r="K34" s="54"/>
      <c r="L34" s="54"/>
      <c r="M34" s="54"/>
      <c r="N34" s="54"/>
      <c r="O34" s="54"/>
      <c r="P34" s="54"/>
      <c r="Q34" s="54"/>
    </row>
    <row r="35" spans="2:17" ht="12.75">
      <c r="B35" s="57"/>
      <c r="C35" s="55"/>
      <c r="D35" s="55"/>
      <c r="E35" s="56" t="s">
        <v>1162</v>
      </c>
      <c r="F35" s="54"/>
      <c r="G35" s="66"/>
      <c r="H35" s="54"/>
      <c r="I35" s="54"/>
      <c r="J35" s="54"/>
      <c r="K35" s="54"/>
      <c r="L35" s="54"/>
      <c r="M35" s="54"/>
      <c r="N35" s="54"/>
      <c r="O35" s="54"/>
      <c r="P35" s="54"/>
      <c r="Q35" s="54"/>
    </row>
    <row r="36" spans="2:17" ht="12.75">
      <c r="B36" s="54"/>
      <c r="C36" s="87"/>
      <c r="D36" s="87"/>
      <c r="E36" s="56" t="s">
        <v>933</v>
      </c>
      <c r="F36" s="54" t="s">
        <v>231</v>
      </c>
      <c r="G36" s="66"/>
      <c r="H36" s="54"/>
      <c r="I36" s="54"/>
      <c r="J36" s="54"/>
      <c r="K36" s="54"/>
      <c r="L36" s="54"/>
      <c r="M36" s="54"/>
      <c r="N36" s="54"/>
      <c r="O36" s="54"/>
      <c r="P36" s="54"/>
      <c r="Q36" s="54"/>
    </row>
    <row r="37" spans="2:17" ht="12.75">
      <c r="B37" s="57"/>
      <c r="C37" s="55"/>
      <c r="D37" s="55"/>
      <c r="E37" s="56" t="s">
        <v>1017</v>
      </c>
      <c r="F37" s="54"/>
      <c r="G37" s="66"/>
      <c r="H37" s="54"/>
      <c r="I37" s="54"/>
      <c r="J37" s="54"/>
      <c r="K37" s="54"/>
      <c r="L37" s="54"/>
      <c r="M37" s="54"/>
      <c r="N37" s="54"/>
      <c r="O37" s="54"/>
      <c r="P37" s="54"/>
      <c r="Q37" s="54"/>
    </row>
    <row r="38" spans="2:17" ht="12.75">
      <c r="B38" s="57"/>
      <c r="C38" s="55"/>
      <c r="D38" s="55"/>
      <c r="E38" s="56" t="s">
        <v>934</v>
      </c>
      <c r="F38" s="54" t="s">
        <v>231</v>
      </c>
      <c r="G38" s="66"/>
      <c r="H38" s="54"/>
      <c r="I38" s="54"/>
      <c r="J38" s="54"/>
      <c r="K38" s="54"/>
      <c r="L38" s="54"/>
      <c r="M38" s="54"/>
      <c r="N38" s="54"/>
      <c r="O38" s="54"/>
      <c r="P38" s="54"/>
      <c r="Q38" s="54"/>
    </row>
    <row r="39" spans="2:17" ht="12.75">
      <c r="B39" s="57"/>
      <c r="C39" s="55"/>
      <c r="D39" s="55"/>
      <c r="E39" s="56" t="s">
        <v>2081</v>
      </c>
      <c r="F39" s="54"/>
      <c r="G39" s="66"/>
      <c r="H39" s="54"/>
      <c r="I39" s="54"/>
      <c r="J39" s="54"/>
      <c r="K39" s="54"/>
      <c r="L39" s="54"/>
      <c r="M39" s="54"/>
      <c r="N39" s="54"/>
      <c r="O39" s="54"/>
      <c r="P39" s="54"/>
      <c r="Q39" s="54"/>
    </row>
    <row r="40" spans="2:17" ht="12.75">
      <c r="B40" s="57"/>
      <c r="C40" s="55"/>
      <c r="D40" s="55"/>
      <c r="E40" s="54" t="s">
        <v>1981</v>
      </c>
      <c r="F40" s="54"/>
      <c r="G40" s="66"/>
      <c r="H40" s="54"/>
      <c r="I40" s="54"/>
      <c r="J40" s="54"/>
      <c r="K40" s="54"/>
      <c r="L40" s="54"/>
      <c r="M40" s="54"/>
      <c r="N40" s="54"/>
      <c r="O40" s="54"/>
      <c r="P40" s="54"/>
      <c r="Q40" s="54"/>
    </row>
    <row r="41" spans="2:17" ht="15">
      <c r="B41" s="54"/>
      <c r="C41" s="55"/>
      <c r="D41" s="55"/>
      <c r="E41" s="96" t="s">
        <v>381</v>
      </c>
      <c r="F41" s="54"/>
      <c r="G41" s="66"/>
      <c r="H41" s="54"/>
      <c r="I41" s="54"/>
      <c r="J41" s="54"/>
      <c r="K41" s="54"/>
      <c r="L41" s="54"/>
      <c r="M41" s="54"/>
      <c r="N41" s="54"/>
      <c r="O41" s="54"/>
      <c r="P41" s="100"/>
      <c r="Q41" s="54"/>
    </row>
    <row r="42" spans="2:17" ht="12.75">
      <c r="B42" s="57"/>
      <c r="C42" s="55"/>
      <c r="D42" s="55"/>
      <c r="E42" s="58" t="s">
        <v>1063</v>
      </c>
      <c r="F42" s="54"/>
      <c r="G42" s="66"/>
      <c r="H42" s="54"/>
      <c r="I42" s="54"/>
      <c r="J42" s="54"/>
      <c r="K42" s="54"/>
      <c r="L42" s="54"/>
      <c r="M42" s="54"/>
      <c r="N42" s="54"/>
      <c r="O42" s="54"/>
      <c r="P42" s="54"/>
      <c r="Q42" s="54"/>
    </row>
    <row r="43" spans="2:17" ht="12.75">
      <c r="B43" s="57"/>
      <c r="C43" s="55"/>
      <c r="D43" s="55"/>
      <c r="E43" s="56" t="s">
        <v>1525</v>
      </c>
      <c r="F43" s="54"/>
      <c r="G43" s="66"/>
      <c r="H43" s="54"/>
      <c r="I43" s="54"/>
      <c r="J43" s="54"/>
      <c r="K43" s="54"/>
      <c r="L43" s="54"/>
      <c r="M43" s="54"/>
      <c r="N43" s="54"/>
      <c r="O43" s="54"/>
      <c r="P43" s="54"/>
      <c r="Q43" s="54"/>
    </row>
    <row r="44" spans="2:17" ht="12.75">
      <c r="B44" s="57"/>
      <c r="C44" s="55"/>
      <c r="D44" s="55"/>
      <c r="E44" s="56" t="s">
        <v>935</v>
      </c>
      <c r="F44" s="54" t="s">
        <v>231</v>
      </c>
      <c r="G44" s="66"/>
      <c r="H44" s="54"/>
      <c r="I44" s="54"/>
      <c r="J44" s="54"/>
      <c r="K44" s="54"/>
      <c r="L44" s="54"/>
      <c r="M44" s="54"/>
      <c r="N44" s="54"/>
      <c r="O44" s="54"/>
      <c r="P44" s="54"/>
      <c r="Q44" s="54"/>
    </row>
    <row r="45" spans="2:17" ht="12.75">
      <c r="B45" s="57"/>
      <c r="C45" s="55"/>
      <c r="D45" s="55"/>
      <c r="E45" s="56" t="s">
        <v>936</v>
      </c>
      <c r="F45" s="54" t="s">
        <v>231</v>
      </c>
      <c r="G45" s="66"/>
      <c r="H45" s="54"/>
      <c r="I45" s="54"/>
      <c r="J45" s="54"/>
      <c r="K45" s="54"/>
      <c r="L45" s="54"/>
      <c r="M45" s="54"/>
      <c r="N45" s="54"/>
      <c r="O45" s="54"/>
      <c r="P45" s="54"/>
      <c r="Q45" s="54"/>
    </row>
    <row r="46" spans="2:17" ht="12.75">
      <c r="B46" s="61"/>
      <c r="C46" s="55"/>
      <c r="D46" s="55"/>
      <c r="E46" s="59" t="s">
        <v>937</v>
      </c>
      <c r="F46" s="54" t="s">
        <v>231</v>
      </c>
      <c r="G46" s="66"/>
      <c r="H46" s="54"/>
      <c r="I46" s="54"/>
      <c r="J46" s="54"/>
      <c r="K46" s="54"/>
      <c r="L46" s="54"/>
      <c r="M46" s="54"/>
      <c r="N46" s="54"/>
      <c r="O46" s="54"/>
      <c r="P46" s="54"/>
      <c r="Q46" s="54"/>
    </row>
    <row r="47" spans="2:17" ht="12.75">
      <c r="B47" s="61"/>
      <c r="C47" s="55"/>
      <c r="D47" s="55"/>
      <c r="E47" s="59" t="s">
        <v>325</v>
      </c>
      <c r="F47" s="54" t="s">
        <v>231</v>
      </c>
      <c r="G47" s="66"/>
      <c r="H47" s="54"/>
      <c r="I47" s="54"/>
      <c r="J47" s="54"/>
      <c r="K47" s="54"/>
      <c r="L47" s="54"/>
      <c r="M47" s="54"/>
      <c r="N47" s="54"/>
      <c r="O47" s="54"/>
      <c r="P47" s="54"/>
      <c r="Q47" s="54"/>
    </row>
    <row r="48" spans="2:17" ht="12.75">
      <c r="B48" s="61"/>
      <c r="C48" s="55"/>
      <c r="D48" s="55"/>
      <c r="E48" s="58" t="s">
        <v>326</v>
      </c>
      <c r="F48" s="54" t="s">
        <v>231</v>
      </c>
      <c r="G48" s="66"/>
      <c r="H48" s="54"/>
      <c r="I48" s="54"/>
      <c r="J48" s="54"/>
      <c r="K48" s="54"/>
      <c r="L48" s="54"/>
      <c r="M48" s="54"/>
      <c r="N48" s="54"/>
      <c r="O48" s="54"/>
      <c r="P48" s="54"/>
      <c r="Q48" s="54"/>
    </row>
    <row r="49" spans="2:17" ht="12.75">
      <c r="B49" s="61"/>
      <c r="C49" s="55"/>
      <c r="D49" s="55"/>
      <c r="E49" s="58" t="s">
        <v>327</v>
      </c>
      <c r="F49" s="54" t="s">
        <v>231</v>
      </c>
      <c r="G49" s="66"/>
      <c r="H49" s="54"/>
      <c r="I49" s="54"/>
      <c r="J49" s="54"/>
      <c r="K49" s="54"/>
      <c r="L49" s="54"/>
      <c r="M49" s="54"/>
      <c r="N49" s="54"/>
      <c r="O49" s="54"/>
      <c r="P49" s="54"/>
      <c r="Q49" s="54"/>
    </row>
    <row r="50" spans="2:17" ht="12.75">
      <c r="B50" s="57"/>
      <c r="C50" s="55"/>
      <c r="D50" s="55"/>
      <c r="E50" s="58" t="s">
        <v>1067</v>
      </c>
      <c r="F50" s="54"/>
      <c r="G50" s="66"/>
      <c r="H50" s="54"/>
      <c r="I50" s="54"/>
      <c r="J50" s="54"/>
      <c r="K50" s="54"/>
      <c r="L50" s="54"/>
      <c r="M50" s="54"/>
      <c r="N50" s="54"/>
      <c r="O50" s="54"/>
      <c r="P50" s="54"/>
      <c r="Q50" s="54"/>
    </row>
    <row r="51" spans="2:17" ht="12.75">
      <c r="B51" s="54"/>
      <c r="C51" s="87"/>
      <c r="D51" s="87"/>
      <c r="E51" s="59" t="s">
        <v>328</v>
      </c>
      <c r="F51" s="54" t="s">
        <v>231</v>
      </c>
      <c r="G51" s="66"/>
      <c r="H51" s="54"/>
      <c r="I51" s="54"/>
      <c r="J51" s="54"/>
      <c r="K51" s="54"/>
      <c r="L51" s="54"/>
      <c r="M51" s="54"/>
      <c r="N51" s="54"/>
      <c r="O51" s="54"/>
      <c r="P51" s="54"/>
      <c r="Q51" s="54"/>
    </row>
    <row r="52" spans="2:17" ht="12.75">
      <c r="B52" s="61"/>
      <c r="C52" s="87"/>
      <c r="D52" s="87"/>
      <c r="E52" s="96" t="s">
        <v>329</v>
      </c>
      <c r="F52" s="54" t="s">
        <v>231</v>
      </c>
      <c r="G52" s="66"/>
      <c r="H52" s="54"/>
      <c r="I52" s="54"/>
      <c r="J52" s="54"/>
      <c r="K52" s="54"/>
      <c r="L52" s="54"/>
      <c r="M52" s="54"/>
      <c r="N52" s="54"/>
      <c r="O52" s="54"/>
      <c r="P52" s="54"/>
      <c r="Q52" s="54"/>
    </row>
    <row r="53" spans="2:17" ht="12.75">
      <c r="B53" s="57"/>
      <c r="C53" s="87"/>
      <c r="D53" s="87"/>
      <c r="E53" s="58" t="s">
        <v>330</v>
      </c>
      <c r="F53" s="54" t="s">
        <v>231</v>
      </c>
      <c r="G53" s="66"/>
      <c r="H53" s="54"/>
      <c r="I53" s="54"/>
      <c r="J53" s="54"/>
      <c r="K53" s="54"/>
      <c r="L53" s="54"/>
      <c r="M53" s="54"/>
      <c r="N53" s="54"/>
      <c r="O53" s="54"/>
      <c r="P53" s="54"/>
      <c r="Q53" s="54"/>
    </row>
    <row r="54" spans="2:17" ht="12.75">
      <c r="B54" s="54"/>
      <c r="C54" s="87"/>
      <c r="D54" s="87"/>
      <c r="E54" s="59" t="s">
        <v>331</v>
      </c>
      <c r="F54" s="54" t="s">
        <v>231</v>
      </c>
      <c r="G54" s="66"/>
      <c r="H54" s="54"/>
      <c r="I54" s="54"/>
      <c r="J54" s="54"/>
      <c r="K54" s="54"/>
      <c r="L54" s="54"/>
      <c r="M54" s="54"/>
      <c r="N54" s="54"/>
      <c r="O54" s="54"/>
      <c r="P54" s="54"/>
      <c r="Q54" s="54"/>
    </row>
    <row r="55" spans="2:17" ht="13.5" customHeight="1">
      <c r="B55" s="57"/>
      <c r="C55" s="55"/>
      <c r="D55" s="55"/>
      <c r="E55" s="56" t="s">
        <v>1207</v>
      </c>
      <c r="F55" s="54" t="s">
        <v>231</v>
      </c>
      <c r="G55" s="66"/>
      <c r="H55" s="54"/>
      <c r="I55" s="54"/>
      <c r="J55" s="54"/>
      <c r="K55" s="54"/>
      <c r="L55" s="54"/>
      <c r="M55" s="54"/>
      <c r="N55" s="54"/>
      <c r="O55" s="54"/>
      <c r="P55" s="54"/>
      <c r="Q55" s="54"/>
    </row>
    <row r="56" spans="2:17" ht="12.75">
      <c r="B56" s="57"/>
      <c r="C56" s="55"/>
      <c r="D56" s="55"/>
      <c r="E56" s="56" t="s">
        <v>1208</v>
      </c>
      <c r="F56" s="54" t="s">
        <v>231</v>
      </c>
      <c r="G56" s="66"/>
      <c r="H56" s="54"/>
      <c r="I56" s="54"/>
      <c r="J56" s="54"/>
      <c r="K56" s="54"/>
      <c r="L56" s="54"/>
      <c r="M56" s="54"/>
      <c r="N56" s="54"/>
      <c r="O56" s="54"/>
      <c r="P56" s="54"/>
      <c r="Q56" s="54"/>
    </row>
    <row r="57" spans="2:17" ht="24" customHeight="1">
      <c r="B57" s="57"/>
      <c r="C57" s="55"/>
      <c r="D57" s="55"/>
      <c r="E57" s="75" t="s">
        <v>1209</v>
      </c>
      <c r="F57" s="56" t="s">
        <v>231</v>
      </c>
      <c r="G57" s="104"/>
      <c r="H57" s="56"/>
      <c r="I57" s="56"/>
      <c r="J57" s="56"/>
      <c r="K57" s="56"/>
      <c r="L57" s="56"/>
      <c r="M57" s="56"/>
      <c r="N57" s="56"/>
      <c r="O57" s="56"/>
      <c r="P57" s="56"/>
      <c r="Q57" s="56"/>
    </row>
    <row r="58" spans="2:17" ht="12.75">
      <c r="B58" s="57"/>
      <c r="C58" s="55"/>
      <c r="D58" s="55"/>
      <c r="E58" s="11" t="s">
        <v>1479</v>
      </c>
      <c r="F58" s="87" t="s">
        <v>231</v>
      </c>
      <c r="G58" s="66"/>
      <c r="H58" s="54"/>
      <c r="I58" s="54"/>
      <c r="J58" s="54"/>
      <c r="K58" s="54"/>
      <c r="L58" s="54"/>
      <c r="M58" s="54"/>
      <c r="N58" s="54"/>
      <c r="O58" s="54"/>
      <c r="P58" s="54"/>
      <c r="Q58" s="54"/>
    </row>
    <row r="59" spans="2:17" ht="12.75">
      <c r="B59" s="57"/>
      <c r="C59" s="55"/>
      <c r="D59" s="55"/>
      <c r="E59" s="58" t="s">
        <v>88</v>
      </c>
      <c r="F59" s="87" t="s">
        <v>231</v>
      </c>
      <c r="G59" s="66"/>
      <c r="H59" s="54"/>
      <c r="I59" s="54"/>
      <c r="J59" s="54"/>
      <c r="K59" s="54"/>
      <c r="L59" s="54"/>
      <c r="M59" s="54"/>
      <c r="N59" s="54"/>
      <c r="O59" s="54"/>
      <c r="P59" s="54"/>
      <c r="Q59" s="54"/>
    </row>
    <row r="60" spans="2:17" ht="12.75">
      <c r="B60" s="57"/>
      <c r="C60" s="55"/>
      <c r="D60" s="55"/>
      <c r="E60" s="58" t="s">
        <v>1210</v>
      </c>
      <c r="F60" s="54" t="s">
        <v>231</v>
      </c>
      <c r="G60" s="66"/>
      <c r="H60" s="54"/>
      <c r="I60" s="54"/>
      <c r="J60" s="54"/>
      <c r="K60" s="54"/>
      <c r="L60" s="54"/>
      <c r="M60" s="54"/>
      <c r="N60" s="54"/>
      <c r="O60" s="54"/>
      <c r="P60" s="54"/>
      <c r="Q60" s="54"/>
    </row>
    <row r="61" spans="1:17" s="6" customFormat="1" ht="12.75">
      <c r="A61" s="16"/>
      <c r="B61" s="62"/>
      <c r="C61" s="62"/>
      <c r="D61" s="62"/>
      <c r="E61" s="99" t="s">
        <v>1211</v>
      </c>
      <c r="F61" s="62" t="s">
        <v>231</v>
      </c>
      <c r="G61" s="102"/>
      <c r="H61" s="62"/>
      <c r="I61" s="62"/>
      <c r="J61" s="62"/>
      <c r="K61" s="62"/>
      <c r="L61" s="62"/>
      <c r="M61" s="62"/>
      <c r="N61" s="62"/>
      <c r="O61" s="62"/>
      <c r="P61" s="62"/>
      <c r="Q61" s="62"/>
    </row>
    <row r="62" spans="2:17" s="6" customFormat="1" ht="12.75">
      <c r="B62" s="62"/>
      <c r="C62" s="62"/>
      <c r="D62" s="62"/>
      <c r="E62" s="99" t="s">
        <v>1212</v>
      </c>
      <c r="F62" s="62" t="s">
        <v>231</v>
      </c>
      <c r="G62" s="102"/>
      <c r="H62" s="62"/>
      <c r="I62" s="62"/>
      <c r="J62" s="62"/>
      <c r="K62" s="62"/>
      <c r="L62" s="62"/>
      <c r="M62" s="62"/>
      <c r="N62" s="62"/>
      <c r="O62" s="62"/>
      <c r="P62" s="62"/>
      <c r="Q62" s="62"/>
    </row>
    <row r="63" spans="1:17" s="6" customFormat="1" ht="12.75">
      <c r="A63" s="16"/>
      <c r="B63" s="61"/>
      <c r="C63" s="86"/>
      <c r="D63" s="86"/>
      <c r="E63" s="99" t="s">
        <v>1215</v>
      </c>
      <c r="F63" s="62" t="s">
        <v>231</v>
      </c>
      <c r="G63" s="105"/>
      <c r="H63" s="62"/>
      <c r="I63" s="62"/>
      <c r="J63" s="62"/>
      <c r="K63" s="62"/>
      <c r="L63" s="62"/>
      <c r="M63" s="62"/>
      <c r="N63" s="62"/>
      <c r="O63" s="62"/>
      <c r="P63" s="62"/>
      <c r="Q63" s="62"/>
    </row>
    <row r="64" spans="2:17" s="6" customFormat="1" ht="12.75">
      <c r="B64" s="61"/>
      <c r="C64" s="86"/>
      <c r="D64" s="86"/>
      <c r="E64" s="99" t="s">
        <v>1216</v>
      </c>
      <c r="F64" s="62" t="s">
        <v>231</v>
      </c>
      <c r="G64" s="102"/>
      <c r="H64" s="62"/>
      <c r="I64" s="62"/>
      <c r="J64" s="62"/>
      <c r="K64" s="62"/>
      <c r="L64" s="62"/>
      <c r="M64" s="62"/>
      <c r="N64" s="62"/>
      <c r="O64" s="62"/>
      <c r="P64" s="62"/>
      <c r="Q64" s="62"/>
    </row>
    <row r="65" spans="2:17" ht="12.75">
      <c r="B65" s="57"/>
      <c r="C65" s="55"/>
      <c r="D65" s="55"/>
      <c r="E65" s="56" t="s">
        <v>1217</v>
      </c>
      <c r="F65" s="54" t="s">
        <v>231</v>
      </c>
      <c r="G65" s="66"/>
      <c r="H65" s="54"/>
      <c r="I65" s="54"/>
      <c r="J65" s="54"/>
      <c r="K65" s="54"/>
      <c r="L65" s="54"/>
      <c r="M65" s="54"/>
      <c r="N65" s="54"/>
      <c r="O65" s="54"/>
      <c r="P65" s="54"/>
      <c r="Q65" s="54"/>
    </row>
    <row r="66" spans="2:17" ht="12.75">
      <c r="B66" s="57"/>
      <c r="C66" s="55"/>
      <c r="D66" s="55"/>
      <c r="E66" s="56" t="s">
        <v>1483</v>
      </c>
      <c r="F66" s="54" t="s">
        <v>231</v>
      </c>
      <c r="G66" s="66"/>
      <c r="H66" s="54"/>
      <c r="I66" s="54"/>
      <c r="J66" s="54"/>
      <c r="K66" s="54"/>
      <c r="L66" s="54"/>
      <c r="M66" s="54"/>
      <c r="N66" s="54"/>
      <c r="O66" s="54"/>
      <c r="P66" s="54"/>
      <c r="Q66" s="54"/>
    </row>
    <row r="67" spans="2:17" s="6" customFormat="1" ht="12.75">
      <c r="B67" s="61"/>
      <c r="C67" s="86"/>
      <c r="D67" s="86"/>
      <c r="E67" s="99" t="s">
        <v>1484</v>
      </c>
      <c r="F67" s="62" t="s">
        <v>231</v>
      </c>
      <c r="G67" s="102"/>
      <c r="H67" s="62"/>
      <c r="I67" s="62"/>
      <c r="J67" s="62"/>
      <c r="K67" s="62"/>
      <c r="L67" s="62"/>
      <c r="M67" s="62"/>
      <c r="N67" s="62"/>
      <c r="O67" s="62"/>
      <c r="P67" s="62"/>
      <c r="Q67" s="62"/>
    </row>
    <row r="68" spans="2:17" s="6" customFormat="1" ht="12.75">
      <c r="B68" s="61"/>
      <c r="C68" s="86"/>
      <c r="D68" s="86"/>
      <c r="E68" s="99" t="s">
        <v>1485</v>
      </c>
      <c r="F68" s="62" t="s">
        <v>231</v>
      </c>
      <c r="G68" s="102"/>
      <c r="H68" s="62"/>
      <c r="I68" s="62"/>
      <c r="J68" s="62"/>
      <c r="K68" s="62"/>
      <c r="L68" s="62"/>
      <c r="M68" s="62"/>
      <c r="N68" s="62"/>
      <c r="O68" s="62"/>
      <c r="P68" s="62"/>
      <c r="Q68" s="62"/>
    </row>
    <row r="69" spans="2:17" s="6" customFormat="1" ht="12.75">
      <c r="B69" s="61"/>
      <c r="C69" s="86"/>
      <c r="D69" s="86"/>
      <c r="E69" s="99" t="s">
        <v>1486</v>
      </c>
      <c r="F69" s="62" t="s">
        <v>231</v>
      </c>
      <c r="G69" s="102"/>
      <c r="H69" s="62"/>
      <c r="I69" s="62"/>
      <c r="J69" s="62"/>
      <c r="K69" s="62"/>
      <c r="L69" s="62"/>
      <c r="M69" s="62"/>
      <c r="N69" s="62"/>
      <c r="O69" s="62"/>
      <c r="P69" s="62"/>
      <c r="Q69" s="62"/>
    </row>
    <row r="70" spans="2:17" ht="12.75">
      <c r="B70" s="57"/>
      <c r="C70" s="55"/>
      <c r="D70" s="55"/>
      <c r="E70" s="56" t="s">
        <v>1487</v>
      </c>
      <c r="F70" s="54" t="s">
        <v>231</v>
      </c>
      <c r="G70" s="66"/>
      <c r="H70" s="54"/>
      <c r="I70" s="54"/>
      <c r="J70" s="54"/>
      <c r="K70" s="54"/>
      <c r="L70" s="54"/>
      <c r="M70" s="54"/>
      <c r="N70" s="54"/>
      <c r="O70" s="54"/>
      <c r="P70" s="54"/>
      <c r="Q70" s="54"/>
    </row>
    <row r="71" spans="2:17" ht="12.75">
      <c r="B71" s="57"/>
      <c r="C71" s="55"/>
      <c r="D71" s="55"/>
      <c r="E71" s="58" t="s">
        <v>1488</v>
      </c>
      <c r="F71" s="54" t="s">
        <v>231</v>
      </c>
      <c r="G71" s="66"/>
      <c r="H71" s="54"/>
      <c r="I71" s="54"/>
      <c r="J71" s="54"/>
      <c r="K71" s="54"/>
      <c r="L71" s="54"/>
      <c r="M71" s="54"/>
      <c r="N71" s="54"/>
      <c r="O71" s="54"/>
      <c r="P71" s="54"/>
      <c r="Q71" s="54"/>
    </row>
    <row r="72" spans="2:17" ht="12.75">
      <c r="B72" s="57"/>
      <c r="C72" s="55"/>
      <c r="D72" s="55"/>
      <c r="E72" s="101" t="s">
        <v>2082</v>
      </c>
      <c r="F72" s="54"/>
      <c r="G72" s="66"/>
      <c r="H72" s="54"/>
      <c r="I72" s="54"/>
      <c r="J72" s="54"/>
      <c r="K72" s="54"/>
      <c r="L72" s="54"/>
      <c r="M72" s="54"/>
      <c r="N72" s="54"/>
      <c r="O72" s="54"/>
      <c r="P72" s="54"/>
      <c r="Q72" s="54"/>
    </row>
    <row r="73" spans="2:17" ht="12.75">
      <c r="B73" s="57"/>
      <c r="C73" s="55"/>
      <c r="D73" s="55"/>
      <c r="E73" s="101" t="s">
        <v>1656</v>
      </c>
      <c r="F73" s="54"/>
      <c r="G73" s="66"/>
      <c r="H73" s="54"/>
      <c r="I73" s="54"/>
      <c r="J73" s="54"/>
      <c r="K73" s="54"/>
      <c r="L73" s="54"/>
      <c r="M73" s="54"/>
      <c r="N73" s="54"/>
      <c r="O73" s="54"/>
      <c r="P73" s="54"/>
      <c r="Q73" s="54"/>
    </row>
    <row r="74" spans="2:17" ht="12.75">
      <c r="B74" s="57"/>
      <c r="C74" s="55"/>
      <c r="D74" s="55"/>
      <c r="E74" s="101" t="s">
        <v>1658</v>
      </c>
      <c r="F74" s="54"/>
      <c r="G74" s="66"/>
      <c r="H74" s="54"/>
      <c r="I74" s="54"/>
      <c r="J74" s="54"/>
      <c r="K74" s="54"/>
      <c r="L74" s="54"/>
      <c r="M74" s="54"/>
      <c r="N74" s="54"/>
      <c r="O74" s="54"/>
      <c r="P74" s="54"/>
      <c r="Q74" s="54"/>
    </row>
    <row r="75" spans="2:17" ht="12.75">
      <c r="B75" s="57"/>
      <c r="C75" s="55"/>
      <c r="D75" s="55"/>
      <c r="E75" s="101" t="s">
        <v>1659</v>
      </c>
      <c r="F75" s="54"/>
      <c r="G75" s="66"/>
      <c r="H75" s="54"/>
      <c r="I75" s="54"/>
      <c r="J75" s="54"/>
      <c r="K75" s="54"/>
      <c r="L75" s="54"/>
      <c r="M75" s="54"/>
      <c r="N75" s="54"/>
      <c r="O75" s="54"/>
      <c r="P75" s="54"/>
      <c r="Q75" s="54"/>
    </row>
    <row r="76" spans="2:17" ht="12.75">
      <c r="B76" s="57"/>
      <c r="C76" s="55"/>
      <c r="D76" s="55"/>
      <c r="E76" s="101"/>
      <c r="F76" s="54"/>
      <c r="G76" s="66"/>
      <c r="H76" s="54"/>
      <c r="I76" s="54"/>
      <c r="J76" s="54"/>
      <c r="K76" s="54"/>
      <c r="L76" s="54"/>
      <c r="M76" s="54"/>
      <c r="N76" s="54"/>
      <c r="O76" s="54"/>
      <c r="P76" s="54"/>
      <c r="Q76" s="54"/>
    </row>
    <row r="77" spans="2:17" ht="12.75">
      <c r="B77" s="57"/>
      <c r="C77" s="55"/>
      <c r="D77" s="55"/>
      <c r="E77" s="56" t="s">
        <v>1686</v>
      </c>
      <c r="F77" s="54"/>
      <c r="G77" s="66"/>
      <c r="H77" s="54"/>
      <c r="I77" s="54"/>
      <c r="J77" s="54"/>
      <c r="K77" s="54"/>
      <c r="L77" s="54"/>
      <c r="M77" s="54"/>
      <c r="N77" s="54"/>
      <c r="O77" s="54"/>
      <c r="P77" s="54"/>
      <c r="Q77" s="54"/>
    </row>
    <row r="78" spans="2:17" ht="12.75">
      <c r="B78" s="57"/>
      <c r="C78" s="55"/>
      <c r="D78" s="55"/>
      <c r="E78" s="107" t="s">
        <v>1657</v>
      </c>
      <c r="F78" s="54"/>
      <c r="G78" s="66"/>
      <c r="H78" s="54"/>
      <c r="I78" s="54"/>
      <c r="J78" s="54"/>
      <c r="K78" s="54"/>
      <c r="L78" s="54"/>
      <c r="M78" s="54"/>
      <c r="N78" s="54"/>
      <c r="O78" s="54"/>
      <c r="P78" s="54"/>
      <c r="Q78" s="54"/>
    </row>
    <row r="79" spans="2:17" ht="12.75">
      <c r="B79" s="57"/>
      <c r="C79" s="55"/>
      <c r="D79" s="55"/>
      <c r="E79" s="56" t="s">
        <v>1996</v>
      </c>
      <c r="F79" s="54"/>
      <c r="G79" s="66"/>
      <c r="H79" s="54"/>
      <c r="I79" s="54"/>
      <c r="J79" s="54"/>
      <c r="K79" s="54"/>
      <c r="L79" s="54"/>
      <c r="M79" s="54"/>
      <c r="N79" s="54"/>
      <c r="O79" s="54"/>
      <c r="P79" s="54"/>
      <c r="Q79" s="54"/>
    </row>
    <row r="80" spans="2:17" ht="12.75">
      <c r="B80" s="57"/>
      <c r="C80" s="55"/>
      <c r="D80" s="55"/>
      <c r="E80" s="56" t="s">
        <v>1851</v>
      </c>
      <c r="F80" s="54"/>
      <c r="G80" s="66"/>
      <c r="H80" s="54"/>
      <c r="I80" s="54"/>
      <c r="J80" s="54"/>
      <c r="K80" s="54"/>
      <c r="L80" s="54"/>
      <c r="M80" s="54"/>
      <c r="N80" s="54"/>
      <c r="O80" s="54"/>
      <c r="P80" s="54"/>
      <c r="Q80" s="54"/>
    </row>
    <row r="81" spans="2:17" ht="12.75">
      <c r="B81" s="57"/>
      <c r="C81" s="55"/>
      <c r="D81" s="55"/>
      <c r="E81" s="106" t="s">
        <v>2059</v>
      </c>
      <c r="F81" s="54"/>
      <c r="G81" s="66"/>
      <c r="H81" s="54"/>
      <c r="I81" s="54"/>
      <c r="J81" s="54"/>
      <c r="K81" s="54"/>
      <c r="L81" s="54"/>
      <c r="M81" s="54"/>
      <c r="N81" s="54"/>
      <c r="O81" s="54"/>
      <c r="P81" s="54"/>
      <c r="Q81" s="54"/>
    </row>
    <row r="82" spans="2:17" ht="12.75">
      <c r="B82" s="57"/>
      <c r="C82" s="55"/>
      <c r="D82" s="55"/>
      <c r="E82" s="56" t="s">
        <v>221</v>
      </c>
      <c r="F82" s="54"/>
      <c r="G82" s="66"/>
      <c r="H82" s="54"/>
      <c r="I82" s="54"/>
      <c r="J82" s="54"/>
      <c r="K82" s="54"/>
      <c r="L82" s="54"/>
      <c r="M82" s="54"/>
      <c r="N82" s="54"/>
      <c r="O82" s="54"/>
      <c r="P82" s="54"/>
      <c r="Q82" s="54"/>
    </row>
    <row r="83" spans="2:17" ht="12.75">
      <c r="B83" s="57"/>
      <c r="C83" s="55"/>
      <c r="D83" s="55"/>
      <c r="E83" s="56" t="s">
        <v>2058</v>
      </c>
      <c r="F83" s="54"/>
      <c r="G83" s="66"/>
      <c r="H83" s="54"/>
      <c r="I83" s="54"/>
      <c r="J83" s="54"/>
      <c r="K83" s="54"/>
      <c r="L83" s="54"/>
      <c r="M83" s="54"/>
      <c r="N83" s="54"/>
      <c r="O83" s="54"/>
      <c r="P83" s="54"/>
      <c r="Q83" s="54"/>
    </row>
    <row r="84" spans="2:19" ht="15">
      <c r="B84" s="54"/>
      <c r="C84" s="54"/>
      <c r="D84" s="54"/>
      <c r="E84" s="56" t="s">
        <v>1564</v>
      </c>
      <c r="F84" s="54"/>
      <c r="G84" s="66"/>
      <c r="H84" s="54"/>
      <c r="I84" s="54"/>
      <c r="J84" s="54"/>
      <c r="K84" s="54"/>
      <c r="L84" s="54"/>
      <c r="M84" s="54"/>
      <c r="N84" s="54"/>
      <c r="O84" s="54"/>
      <c r="P84" s="54"/>
      <c r="Q84" s="54"/>
      <c r="S84" s="31"/>
    </row>
    <row r="85" spans="2:17" ht="12.75">
      <c r="B85" s="57"/>
      <c r="C85" s="55"/>
      <c r="D85" s="55"/>
      <c r="E85" s="56" t="s">
        <v>1695</v>
      </c>
      <c r="F85" s="54"/>
      <c r="G85" s="66"/>
      <c r="H85" s="54"/>
      <c r="I85" s="54"/>
      <c r="J85" s="54"/>
      <c r="K85" s="54"/>
      <c r="L85" s="54"/>
      <c r="M85" s="54"/>
      <c r="N85" s="54"/>
      <c r="O85" s="54"/>
      <c r="P85" s="54"/>
      <c r="Q85" s="54"/>
    </row>
    <row r="86" spans="2:17" ht="12.75">
      <c r="B86" s="57"/>
      <c r="C86" s="55"/>
      <c r="D86" s="55"/>
      <c r="E86" s="56" t="s">
        <v>1655</v>
      </c>
      <c r="F86" s="54"/>
      <c r="G86" s="66"/>
      <c r="H86" s="54"/>
      <c r="I86" s="54"/>
      <c r="J86" s="54"/>
      <c r="K86" s="54"/>
      <c r="L86" s="54"/>
      <c r="M86" s="54"/>
      <c r="N86" s="54"/>
      <c r="O86" s="54"/>
      <c r="P86" s="54"/>
      <c r="Q86" s="54"/>
    </row>
    <row r="87" spans="2:17" ht="12.75">
      <c r="B87" s="57"/>
      <c r="C87" s="57"/>
      <c r="D87" s="55"/>
      <c r="E87" s="56" t="s">
        <v>1993</v>
      </c>
      <c r="F87" s="54"/>
      <c r="G87" s="66"/>
      <c r="H87" s="54"/>
      <c r="I87" s="54"/>
      <c r="J87" s="54"/>
      <c r="K87" s="54"/>
      <c r="L87" s="54"/>
      <c r="M87" s="54"/>
      <c r="N87" s="54"/>
      <c r="O87" s="54"/>
      <c r="P87" s="54"/>
      <c r="Q87" s="54"/>
    </row>
    <row r="88" spans="2:17" ht="12.75">
      <c r="B88" s="57"/>
      <c r="C88" s="57"/>
      <c r="D88" s="55"/>
      <c r="E88" s="56" t="s">
        <v>241</v>
      </c>
      <c r="F88" s="54"/>
      <c r="G88" s="66"/>
      <c r="H88" s="54"/>
      <c r="I88" s="54"/>
      <c r="J88" s="54"/>
      <c r="K88" s="54"/>
      <c r="L88" s="54"/>
      <c r="M88" s="54"/>
      <c r="N88" s="54"/>
      <c r="O88" s="54"/>
      <c r="P88" s="54"/>
      <c r="Q88" s="54"/>
    </row>
    <row r="89" spans="2:17" ht="12.75">
      <c r="B89" s="61"/>
      <c r="C89" s="87"/>
      <c r="D89" s="87"/>
      <c r="E89" s="56" t="s">
        <v>1999</v>
      </c>
      <c r="F89" s="54"/>
      <c r="G89" s="66"/>
      <c r="H89" s="54"/>
      <c r="I89" s="54"/>
      <c r="J89" s="54"/>
      <c r="K89" s="54"/>
      <c r="L89" s="54"/>
      <c r="M89" s="54"/>
      <c r="N89" s="54"/>
      <c r="O89" s="54"/>
      <c r="P89" s="54"/>
      <c r="Q89" s="54"/>
    </row>
    <row r="90" spans="2:17" ht="12.75">
      <c r="B90" s="54"/>
      <c r="C90" s="54"/>
      <c r="D90" s="54"/>
      <c r="E90" s="56" t="s">
        <v>2000</v>
      </c>
      <c r="F90" s="54"/>
      <c r="G90" s="66"/>
      <c r="H90" s="54"/>
      <c r="I90" s="54"/>
      <c r="J90" s="54"/>
      <c r="K90" s="54"/>
      <c r="L90" s="54"/>
      <c r="M90" s="54"/>
      <c r="N90" s="54"/>
      <c r="O90" s="54"/>
      <c r="P90" s="54"/>
      <c r="Q90" s="54"/>
    </row>
    <row r="91" spans="2:9" ht="15">
      <c r="B91" s="61"/>
      <c r="C91" s="55"/>
      <c r="D91" s="55"/>
      <c r="E91" s="56" t="s">
        <v>1164</v>
      </c>
      <c r="F91" s="54"/>
      <c r="I91" s="31"/>
    </row>
    <row r="92" spans="2:9" ht="15">
      <c r="B92" s="61"/>
      <c r="C92" s="55"/>
      <c r="D92" s="55"/>
      <c r="E92" s="56" t="s">
        <v>301</v>
      </c>
      <c r="F92" s="54"/>
      <c r="I92" s="31"/>
    </row>
    <row r="93" spans="2:9" ht="15">
      <c r="B93" s="61"/>
      <c r="C93" s="55"/>
      <c r="D93" s="55"/>
      <c r="E93" s="58" t="s">
        <v>260</v>
      </c>
      <c r="F93" s="54"/>
      <c r="H93" s="3"/>
      <c r="I93" s="31"/>
    </row>
    <row r="94" spans="2:9" ht="15">
      <c r="B94" s="61"/>
      <c r="C94" s="55"/>
      <c r="D94" s="55"/>
      <c r="E94" s="58" t="s">
        <v>259</v>
      </c>
      <c r="F94" s="54"/>
      <c r="I94" s="31"/>
    </row>
    <row r="95" spans="2:9" ht="15">
      <c r="B95" s="57"/>
      <c r="C95" s="55"/>
      <c r="D95" s="55"/>
      <c r="E95" s="58" t="s">
        <v>252</v>
      </c>
      <c r="F95" s="54"/>
      <c r="I95" s="31"/>
    </row>
    <row r="96" spans="2:9" ht="15">
      <c r="B96" s="54"/>
      <c r="C96" s="54"/>
      <c r="D96" s="54"/>
      <c r="E96" s="58" t="s">
        <v>262</v>
      </c>
      <c r="F96" s="54"/>
      <c r="I96" s="31"/>
    </row>
    <row r="97" spans="2:9" ht="15">
      <c r="B97" s="57"/>
      <c r="C97" s="55"/>
      <c r="D97" s="55"/>
      <c r="E97" s="58" t="s">
        <v>263</v>
      </c>
      <c r="F97" s="54"/>
      <c r="I97" s="31"/>
    </row>
    <row r="98" spans="2:9" ht="15">
      <c r="B98" s="57"/>
      <c r="C98" s="55"/>
      <c r="D98" s="55"/>
      <c r="E98" s="58" t="s">
        <v>264</v>
      </c>
      <c r="F98" s="54"/>
      <c r="I98" s="31"/>
    </row>
    <row r="99" spans="2:6" ht="12.75">
      <c r="B99" s="57"/>
      <c r="C99" s="55"/>
      <c r="D99" s="55"/>
      <c r="E99" s="56"/>
      <c r="F99" s="54"/>
    </row>
    <row r="100" spans="2:9" ht="15">
      <c r="B100" s="54"/>
      <c r="C100" s="55"/>
      <c r="D100" s="55"/>
      <c r="E100" s="108"/>
      <c r="F100" s="54"/>
      <c r="I100" s="31"/>
    </row>
    <row r="101" spans="2:9" ht="15">
      <c r="B101" s="57"/>
      <c r="C101" s="55"/>
      <c r="D101" s="55"/>
      <c r="E101" s="58"/>
      <c r="F101" s="54"/>
      <c r="I101" s="31"/>
    </row>
    <row r="102" spans="2:9" ht="15">
      <c r="B102" s="57"/>
      <c r="C102" s="55"/>
      <c r="D102" s="55"/>
      <c r="E102" s="58"/>
      <c r="F102" s="54"/>
      <c r="I102" s="31"/>
    </row>
    <row r="103" spans="2:6" ht="12.75">
      <c r="B103" s="57"/>
      <c r="C103" s="55"/>
      <c r="D103" s="55"/>
      <c r="E103" s="58"/>
      <c r="F103" s="54"/>
    </row>
    <row r="104" spans="2:5" ht="12.75">
      <c r="B104" s="9"/>
      <c r="C104" s="2"/>
      <c r="D104" s="2"/>
      <c r="E104" s="11"/>
    </row>
    <row r="105" spans="2:5" s="6" customFormat="1" ht="12.75">
      <c r="B105" s="16"/>
      <c r="C105" s="10"/>
      <c r="D105" s="10"/>
      <c r="E105" s="98"/>
    </row>
    <row r="106" spans="1:28" ht="117" customHeight="1">
      <c r="A106" t="s">
        <v>697</v>
      </c>
      <c r="B106" t="s">
        <v>79</v>
      </c>
      <c r="C106" t="s">
        <v>1265</v>
      </c>
      <c r="D106" t="s">
        <v>1266</v>
      </c>
      <c r="E106" s="12" t="s">
        <v>2075</v>
      </c>
      <c r="F106" s="28" t="s">
        <v>1932</v>
      </c>
      <c r="G106" s="1" t="s">
        <v>559</v>
      </c>
      <c r="H106" s="1" t="s">
        <v>585</v>
      </c>
      <c r="I106" s="1" t="s">
        <v>584</v>
      </c>
      <c r="J106" s="1" t="s">
        <v>583</v>
      </c>
      <c r="K106" s="1" t="s">
        <v>582</v>
      </c>
      <c r="L106" s="1" t="s">
        <v>581</v>
      </c>
      <c r="M106" s="1" t="s">
        <v>580</v>
      </c>
      <c r="N106" s="1" t="s">
        <v>579</v>
      </c>
      <c r="O106" s="1" t="s">
        <v>560</v>
      </c>
      <c r="P106" s="1" t="s">
        <v>1798</v>
      </c>
      <c r="Q106" s="1" t="s">
        <v>1797</v>
      </c>
      <c r="R106" s="1" t="s">
        <v>1785</v>
      </c>
      <c r="S106" s="1" t="s">
        <v>1820</v>
      </c>
      <c r="T106" s="1" t="s">
        <v>563</v>
      </c>
      <c r="U106" s="1" t="s">
        <v>572</v>
      </c>
      <c r="V106" s="1" t="s">
        <v>571</v>
      </c>
      <c r="W106" s="1" t="s">
        <v>575</v>
      </c>
      <c r="X106" s="1" t="s">
        <v>576</v>
      </c>
      <c r="Y106" s="1" t="s">
        <v>577</v>
      </c>
      <c r="Z106" s="1" t="s">
        <v>578</v>
      </c>
      <c r="AA106" s="1" t="s">
        <v>553</v>
      </c>
      <c r="AB106" s="1"/>
    </row>
    <row r="107" spans="1:29" ht="12.75">
      <c r="A107" s="9">
        <f>G107*U107</f>
        <v>322.85714285714283</v>
      </c>
      <c r="B107">
        <v>113</v>
      </c>
      <c r="C107" s="2">
        <f>B107/28.349523</f>
        <v>3.9859577178776515</v>
      </c>
      <c r="D107" s="2">
        <f>C107/16</f>
        <v>0.24912235736735322</v>
      </c>
      <c r="E107" s="11" t="s">
        <v>2061</v>
      </c>
      <c r="F107" s="9">
        <v>28</v>
      </c>
      <c r="G107">
        <v>80</v>
      </c>
      <c r="H107">
        <v>1</v>
      </c>
      <c r="I107" s="6">
        <v>0.5</v>
      </c>
      <c r="J107">
        <v>25</v>
      </c>
      <c r="K107">
        <v>7</v>
      </c>
      <c r="L107">
        <v>6</v>
      </c>
      <c r="M107">
        <v>10</v>
      </c>
      <c r="N107">
        <v>0</v>
      </c>
      <c r="O107" s="2">
        <f>G107/F107</f>
        <v>2.857142857142857</v>
      </c>
      <c r="P107" s="29">
        <f>100*4*M107/G107</f>
        <v>50</v>
      </c>
      <c r="Q107" s="9">
        <f>100*9*H107/G107</f>
        <v>11.25</v>
      </c>
      <c r="R107" s="16">
        <f>100*(I107*9)/G107</f>
        <v>5.625</v>
      </c>
      <c r="S107" s="16">
        <f>100*K107*4/G107</f>
        <v>35</v>
      </c>
      <c r="T107" s="42">
        <f>100*N107/F107</f>
        <v>0</v>
      </c>
      <c r="U107" s="60">
        <f>B107/F107</f>
        <v>4.035714285714286</v>
      </c>
      <c r="V107" s="9">
        <f>U107*M107</f>
        <v>40.357142857142854</v>
      </c>
      <c r="W107" s="9">
        <f>U107*H107</f>
        <v>4.035714285714286</v>
      </c>
      <c r="X107" s="9">
        <f>U107*K107</f>
        <v>28.25</v>
      </c>
      <c r="Y107" s="9">
        <f>N107*U107</f>
        <v>0</v>
      </c>
      <c r="Z107">
        <f>U107*J107</f>
        <v>100.89285714285714</v>
      </c>
      <c r="AA107" s="2">
        <f>I107*U107</f>
        <v>2.017857142857143</v>
      </c>
      <c r="AB107" s="9" t="s">
        <v>1345</v>
      </c>
      <c r="AC107" s="9"/>
    </row>
    <row r="108" spans="1:29" ht="12.75">
      <c r="A108" s="9">
        <f>G108*U108</f>
        <v>426.0764705882353</v>
      </c>
      <c r="B108">
        <v>113</v>
      </c>
      <c r="C108" s="2">
        <f>B108/28.349523</f>
        <v>3.9859577178776515</v>
      </c>
      <c r="D108" s="2">
        <f>C108/16</f>
        <v>0.24912235736735322</v>
      </c>
      <c r="E108" s="11" t="s">
        <v>1628</v>
      </c>
      <c r="F108" s="9">
        <v>17</v>
      </c>
      <c r="G108">
        <v>64.1</v>
      </c>
      <c r="H108">
        <v>0</v>
      </c>
      <c r="I108" s="10">
        <v>0</v>
      </c>
      <c r="J108" s="6">
        <v>0</v>
      </c>
      <c r="K108" s="6">
        <v>15.9</v>
      </c>
      <c r="L108" s="6">
        <v>16</v>
      </c>
      <c r="M108" s="6">
        <v>0</v>
      </c>
      <c r="N108" s="6">
        <v>0</v>
      </c>
      <c r="O108" s="2">
        <f>G108/F108</f>
        <v>3.770588235294117</v>
      </c>
      <c r="P108" s="42">
        <f>100*4*M108/G108</f>
        <v>0</v>
      </c>
      <c r="Q108" s="9">
        <f>100*9*H108/G108</f>
        <v>0</v>
      </c>
      <c r="R108" s="42">
        <f>100*(I108*9)/G108</f>
        <v>0</v>
      </c>
      <c r="S108" s="29">
        <f>100*K108*4/G108</f>
        <v>99.21996879875196</v>
      </c>
      <c r="T108" s="42">
        <f>100*N108/F108</f>
        <v>0</v>
      </c>
      <c r="U108" s="60">
        <f>B108/F108</f>
        <v>6.647058823529412</v>
      </c>
      <c r="V108" s="16">
        <f>U108*M108</f>
        <v>0</v>
      </c>
      <c r="W108" s="9">
        <f>U108*H108</f>
        <v>0</v>
      </c>
      <c r="X108" s="9">
        <f>U108*K108</f>
        <v>105.68823529411766</v>
      </c>
      <c r="Y108" s="9">
        <f>N108*U108</f>
        <v>0</v>
      </c>
      <c r="Z108">
        <f>U108*J108</f>
        <v>0</v>
      </c>
      <c r="AA108" s="2">
        <f>I108*U108</f>
        <v>0</v>
      </c>
      <c r="AB108" s="9" t="s">
        <v>2062</v>
      </c>
      <c r="AC108" s="9"/>
    </row>
    <row r="109" spans="1:29" ht="12.75">
      <c r="A109" s="9">
        <f aca="true" t="shared" si="0" ref="A109:A120">G109*U109</f>
        <v>552</v>
      </c>
      <c r="B109" s="9">
        <v>138</v>
      </c>
      <c r="C109" s="2">
        <f aca="true" t="shared" si="1" ref="C109:C120">B109/28.349523</f>
        <v>4.86780677050545</v>
      </c>
      <c r="D109" s="2">
        <f aca="true" t="shared" si="2" ref="D109:D120">C109/16</f>
        <v>0.30423792315659065</v>
      </c>
      <c r="E109" s="11" t="s">
        <v>636</v>
      </c>
      <c r="F109" s="9">
        <v>15</v>
      </c>
      <c r="G109">
        <v>60</v>
      </c>
      <c r="H109">
        <v>1</v>
      </c>
      <c r="I109" s="10">
        <v>0</v>
      </c>
      <c r="J109" s="6">
        <v>0</v>
      </c>
      <c r="K109" s="6">
        <v>14</v>
      </c>
      <c r="L109" s="6">
        <v>14</v>
      </c>
      <c r="M109" s="6">
        <v>0</v>
      </c>
      <c r="N109" s="6">
        <v>0</v>
      </c>
      <c r="O109" s="2">
        <f aca="true" t="shared" si="3" ref="O109:O120">G109/F109</f>
        <v>4</v>
      </c>
      <c r="P109" s="42">
        <f aca="true" t="shared" si="4" ref="P109:P120">100*4*M109/G109</f>
        <v>0</v>
      </c>
      <c r="Q109" s="9">
        <f aca="true" t="shared" si="5" ref="Q109:Q120">100*9*H109/G109</f>
        <v>15</v>
      </c>
      <c r="R109" s="42">
        <f aca="true" t="shared" si="6" ref="R109:R120">100*(I109*9)/G109</f>
        <v>0</v>
      </c>
      <c r="S109" s="29">
        <f aca="true" t="shared" si="7" ref="S109:S115">100*K109*4/G109</f>
        <v>93.33333333333333</v>
      </c>
      <c r="T109" s="42">
        <f aca="true" t="shared" si="8" ref="T109:T120">100*N109/F109</f>
        <v>0</v>
      </c>
      <c r="U109" s="60">
        <f aca="true" t="shared" si="9" ref="U109:U120">B109/F109</f>
        <v>9.2</v>
      </c>
      <c r="V109" s="16">
        <f aca="true" t="shared" si="10" ref="V109:V120">U109*M109</f>
        <v>0</v>
      </c>
      <c r="W109" s="9">
        <f aca="true" t="shared" si="11" ref="W109:W120">U109*H109</f>
        <v>9.2</v>
      </c>
      <c r="X109" s="9">
        <f aca="true" t="shared" si="12" ref="X109:X120">U109*K109</f>
        <v>128.79999999999998</v>
      </c>
      <c r="Y109" s="9">
        <f aca="true" t="shared" si="13" ref="Y109:Y120">N109*U109</f>
        <v>0</v>
      </c>
      <c r="Z109">
        <f aca="true" t="shared" si="14" ref="Z109:Z120">U109*J109</f>
        <v>0</v>
      </c>
      <c r="AA109" s="2">
        <f aca="true" t="shared" si="15" ref="AA109:AA120">I109*U109</f>
        <v>0</v>
      </c>
      <c r="AB109" s="9" t="s">
        <v>1823</v>
      </c>
      <c r="AC109" s="9"/>
    </row>
    <row r="110" spans="1:29" ht="12.75">
      <c r="A110" s="9">
        <f t="shared" si="0"/>
        <v>280</v>
      </c>
      <c r="B110">
        <f>2*35</f>
        <v>70</v>
      </c>
      <c r="C110" s="2">
        <f t="shared" si="1"/>
        <v>2.4691773473578373</v>
      </c>
      <c r="D110" s="2">
        <f t="shared" si="2"/>
        <v>0.15432358420986483</v>
      </c>
      <c r="E110" s="11" t="s">
        <v>2050</v>
      </c>
      <c r="F110" s="9">
        <v>35</v>
      </c>
      <c r="G110">
        <v>140</v>
      </c>
      <c r="H110">
        <v>4</v>
      </c>
      <c r="I110" s="10">
        <v>0.5</v>
      </c>
      <c r="J110" s="6">
        <v>0</v>
      </c>
      <c r="K110" s="6">
        <v>25</v>
      </c>
      <c r="L110" s="6">
        <v>13</v>
      </c>
      <c r="M110" s="6">
        <v>3</v>
      </c>
      <c r="N110" s="6">
        <v>1</v>
      </c>
      <c r="O110" s="2">
        <f t="shared" si="3"/>
        <v>4</v>
      </c>
      <c r="P110" s="16">
        <f t="shared" si="4"/>
        <v>8.571428571428571</v>
      </c>
      <c r="Q110" s="9">
        <f t="shared" si="5"/>
        <v>25.714285714285715</v>
      </c>
      <c r="R110" s="16">
        <f t="shared" si="6"/>
        <v>3.2142857142857144</v>
      </c>
      <c r="S110" s="16">
        <f t="shared" si="7"/>
        <v>71.42857142857143</v>
      </c>
      <c r="T110" s="9">
        <f t="shared" si="8"/>
        <v>2.857142857142857</v>
      </c>
      <c r="U110" s="60">
        <f t="shared" si="9"/>
        <v>2</v>
      </c>
      <c r="V110" s="16">
        <f t="shared" si="10"/>
        <v>6</v>
      </c>
      <c r="W110" s="9">
        <f t="shared" si="11"/>
        <v>8</v>
      </c>
      <c r="X110" s="9">
        <f t="shared" si="12"/>
        <v>50</v>
      </c>
      <c r="Y110" s="9">
        <f t="shared" si="13"/>
        <v>2</v>
      </c>
      <c r="Z110">
        <f t="shared" si="14"/>
        <v>0</v>
      </c>
      <c r="AA110" s="2">
        <f t="shared" si="15"/>
        <v>1</v>
      </c>
      <c r="AB110" s="9"/>
      <c r="AC110" s="9"/>
    </row>
    <row r="111" spans="1:29" ht="12.75">
      <c r="A111" s="9">
        <f t="shared" si="0"/>
        <v>600</v>
      </c>
      <c r="B111" s="9">
        <v>150</v>
      </c>
      <c r="C111" s="2">
        <f t="shared" si="1"/>
        <v>5.291094315766794</v>
      </c>
      <c r="D111" s="2">
        <f t="shared" si="2"/>
        <v>0.33069339473542464</v>
      </c>
      <c r="E111" s="11" t="s">
        <v>1314</v>
      </c>
      <c r="F111" s="9">
        <v>25</v>
      </c>
      <c r="G111">
        <v>100</v>
      </c>
      <c r="H111">
        <v>3</v>
      </c>
      <c r="I111" s="10">
        <v>1.5</v>
      </c>
      <c r="J111">
        <v>5</v>
      </c>
      <c r="K111">
        <v>17</v>
      </c>
      <c r="L111">
        <v>14</v>
      </c>
      <c r="M111">
        <v>1</v>
      </c>
      <c r="N111">
        <v>0.5</v>
      </c>
      <c r="O111" s="10">
        <f t="shared" si="3"/>
        <v>4</v>
      </c>
      <c r="P111" s="42">
        <f t="shared" si="4"/>
        <v>4</v>
      </c>
      <c r="Q111" s="16">
        <f t="shared" si="5"/>
        <v>27</v>
      </c>
      <c r="R111" s="16">
        <f t="shared" si="6"/>
        <v>13.5</v>
      </c>
      <c r="S111" s="16">
        <f t="shared" si="7"/>
        <v>68</v>
      </c>
      <c r="T111" s="16">
        <f t="shared" si="8"/>
        <v>2</v>
      </c>
      <c r="U111" s="60">
        <f t="shared" si="9"/>
        <v>6</v>
      </c>
      <c r="V111" s="16">
        <f t="shared" si="10"/>
        <v>6</v>
      </c>
      <c r="W111" s="9">
        <f t="shared" si="11"/>
        <v>18</v>
      </c>
      <c r="X111" s="9">
        <f t="shared" si="12"/>
        <v>102</v>
      </c>
      <c r="Y111" s="16">
        <f t="shared" si="13"/>
        <v>3</v>
      </c>
      <c r="Z111">
        <f t="shared" si="14"/>
        <v>30</v>
      </c>
      <c r="AA111" s="2">
        <f t="shared" si="15"/>
        <v>9</v>
      </c>
      <c r="AB111" s="9" t="s">
        <v>1572</v>
      </c>
      <c r="AC111" s="9"/>
    </row>
    <row r="112" spans="1:27" ht="12.75">
      <c r="A112" s="9">
        <f t="shared" si="0"/>
        <v>1029.6</v>
      </c>
      <c r="B112" s="9">
        <f>198</f>
        <v>198</v>
      </c>
      <c r="C112" s="2">
        <f t="shared" si="1"/>
        <v>6.984244496812169</v>
      </c>
      <c r="D112" s="2">
        <f t="shared" si="2"/>
        <v>0.43651528105076054</v>
      </c>
      <c r="E112" s="11" t="s">
        <v>2051</v>
      </c>
      <c r="F112" s="9">
        <v>25</v>
      </c>
      <c r="G112">
        <v>130</v>
      </c>
      <c r="H112">
        <v>7</v>
      </c>
      <c r="I112" s="10">
        <v>3.5</v>
      </c>
      <c r="J112">
        <v>4</v>
      </c>
      <c r="K112">
        <v>16</v>
      </c>
      <c r="L112">
        <v>8</v>
      </c>
      <c r="M112">
        <v>1</v>
      </c>
      <c r="N112">
        <v>0.5</v>
      </c>
      <c r="O112" s="10">
        <f t="shared" si="3"/>
        <v>5.2</v>
      </c>
      <c r="P112" s="42">
        <f t="shared" si="4"/>
        <v>3.076923076923077</v>
      </c>
      <c r="Q112" s="16">
        <f t="shared" si="5"/>
        <v>48.46153846153846</v>
      </c>
      <c r="R112" s="16">
        <f t="shared" si="6"/>
        <v>24.23076923076923</v>
      </c>
      <c r="S112" s="16">
        <f t="shared" si="7"/>
        <v>49.23076923076923</v>
      </c>
      <c r="T112" s="16">
        <f t="shared" si="8"/>
        <v>2</v>
      </c>
      <c r="U112" s="60">
        <f t="shared" si="9"/>
        <v>7.92</v>
      </c>
      <c r="V112" s="16">
        <f t="shared" si="10"/>
        <v>7.92</v>
      </c>
      <c r="W112" s="9">
        <f t="shared" si="11"/>
        <v>55.44</v>
      </c>
      <c r="X112" s="9">
        <f t="shared" si="12"/>
        <v>126.72</v>
      </c>
      <c r="Y112" s="16">
        <f t="shared" si="13"/>
        <v>3.96</v>
      </c>
      <c r="Z112">
        <f t="shared" si="14"/>
        <v>31.68</v>
      </c>
      <c r="AA112" s="2">
        <f t="shared" si="15"/>
        <v>27.72</v>
      </c>
    </row>
    <row r="113" spans="1:29" ht="12.75">
      <c r="A113" s="9">
        <f t="shared" si="0"/>
        <v>550</v>
      </c>
      <c r="B113">
        <v>100</v>
      </c>
      <c r="C113" s="2">
        <f t="shared" si="1"/>
        <v>3.527396210511196</v>
      </c>
      <c r="D113" s="2">
        <f t="shared" si="2"/>
        <v>0.22046226315694975</v>
      </c>
      <c r="E113" s="11" t="s">
        <v>2052</v>
      </c>
      <c r="F113" s="9">
        <v>40</v>
      </c>
      <c r="G113">
        <v>220</v>
      </c>
      <c r="H113">
        <v>13</v>
      </c>
      <c r="I113" s="10">
        <v>8</v>
      </c>
      <c r="J113">
        <v>0</v>
      </c>
      <c r="K113">
        <v>23</v>
      </c>
      <c r="L113">
        <v>23</v>
      </c>
      <c r="M113">
        <v>2</v>
      </c>
      <c r="N113">
        <v>0</v>
      </c>
      <c r="O113" s="2">
        <f t="shared" si="3"/>
        <v>5.5</v>
      </c>
      <c r="P113" s="42">
        <f t="shared" si="4"/>
        <v>3.6363636363636362</v>
      </c>
      <c r="Q113" s="9">
        <f t="shared" si="5"/>
        <v>53.18181818181818</v>
      </c>
      <c r="R113" s="29">
        <f t="shared" si="6"/>
        <v>32.72727272727273</v>
      </c>
      <c r="S113" s="16">
        <f t="shared" si="7"/>
        <v>41.81818181818182</v>
      </c>
      <c r="T113" s="42">
        <f t="shared" si="8"/>
        <v>0</v>
      </c>
      <c r="U113" s="60">
        <f t="shared" si="9"/>
        <v>2.5</v>
      </c>
      <c r="V113" s="9">
        <f t="shared" si="10"/>
        <v>5</v>
      </c>
      <c r="W113" s="9">
        <f t="shared" si="11"/>
        <v>32.5</v>
      </c>
      <c r="X113" s="9">
        <f t="shared" si="12"/>
        <v>57.5</v>
      </c>
      <c r="Y113" s="9">
        <f t="shared" si="13"/>
        <v>0</v>
      </c>
      <c r="Z113">
        <f t="shared" si="14"/>
        <v>0</v>
      </c>
      <c r="AA113" s="2">
        <f t="shared" si="15"/>
        <v>20</v>
      </c>
      <c r="AB113" t="s">
        <v>1592</v>
      </c>
      <c r="AC113" s="9"/>
    </row>
    <row r="114" spans="1:29" ht="12.75">
      <c r="A114" s="9">
        <f t="shared" si="0"/>
        <v>280</v>
      </c>
      <c r="B114">
        <f>2*35</f>
        <v>70</v>
      </c>
      <c r="C114" s="2">
        <f t="shared" si="1"/>
        <v>2.4691773473578373</v>
      </c>
      <c r="D114" s="2">
        <f t="shared" si="2"/>
        <v>0.15432358420986483</v>
      </c>
      <c r="E114" s="11" t="s">
        <v>382</v>
      </c>
      <c r="F114" s="9">
        <v>35</v>
      </c>
      <c r="G114">
        <v>140</v>
      </c>
      <c r="H114">
        <v>3.5</v>
      </c>
      <c r="I114" s="10">
        <v>0</v>
      </c>
      <c r="J114" s="6">
        <v>0</v>
      </c>
      <c r="K114" s="6">
        <v>26</v>
      </c>
      <c r="L114" s="6">
        <v>13</v>
      </c>
      <c r="M114" s="6">
        <v>2</v>
      </c>
      <c r="N114" s="6">
        <v>1</v>
      </c>
      <c r="O114" s="2">
        <f t="shared" si="3"/>
        <v>4</v>
      </c>
      <c r="P114" s="16">
        <f t="shared" si="4"/>
        <v>5.714285714285714</v>
      </c>
      <c r="Q114" s="9">
        <f t="shared" si="5"/>
        <v>22.5</v>
      </c>
      <c r="R114" s="16">
        <f t="shared" si="6"/>
        <v>0</v>
      </c>
      <c r="S114" s="16">
        <f t="shared" si="7"/>
        <v>74.28571428571429</v>
      </c>
      <c r="T114" s="9">
        <f t="shared" si="8"/>
        <v>2.857142857142857</v>
      </c>
      <c r="U114" s="60">
        <f t="shared" si="9"/>
        <v>2</v>
      </c>
      <c r="V114" s="16">
        <f t="shared" si="10"/>
        <v>4</v>
      </c>
      <c r="W114" s="9">
        <f t="shared" si="11"/>
        <v>7</v>
      </c>
      <c r="X114" s="9">
        <f t="shared" si="12"/>
        <v>52</v>
      </c>
      <c r="Y114" s="9">
        <f t="shared" si="13"/>
        <v>2</v>
      </c>
      <c r="Z114">
        <f t="shared" si="14"/>
        <v>0</v>
      </c>
      <c r="AA114" s="2">
        <f t="shared" si="15"/>
        <v>0</v>
      </c>
      <c r="AB114" s="9" t="s">
        <v>1823</v>
      </c>
      <c r="AC114" s="9"/>
    </row>
    <row r="115" spans="1:29" ht="12.75">
      <c r="A115" s="9">
        <f t="shared" si="0"/>
        <v>190</v>
      </c>
      <c r="B115">
        <v>50</v>
      </c>
      <c r="C115" s="2">
        <f t="shared" si="1"/>
        <v>1.763698105255598</v>
      </c>
      <c r="D115" s="2">
        <f t="shared" si="2"/>
        <v>0.11023113157847488</v>
      </c>
      <c r="E115" s="11" t="s">
        <v>1467</v>
      </c>
      <c r="F115" s="9">
        <v>50</v>
      </c>
      <c r="G115">
        <v>190</v>
      </c>
      <c r="H115">
        <v>6</v>
      </c>
      <c r="I115" s="10">
        <v>3</v>
      </c>
      <c r="J115" s="6">
        <v>0</v>
      </c>
      <c r="K115" s="6">
        <v>22</v>
      </c>
      <c r="L115" s="6">
        <v>17</v>
      </c>
      <c r="M115" s="6">
        <v>14</v>
      </c>
      <c r="N115" s="6">
        <v>0</v>
      </c>
      <c r="O115" s="2">
        <f t="shared" si="3"/>
        <v>3.8</v>
      </c>
      <c r="P115" s="16">
        <f t="shared" si="4"/>
        <v>29.473684210526315</v>
      </c>
      <c r="Q115" s="9">
        <f t="shared" si="5"/>
        <v>28.42105263157895</v>
      </c>
      <c r="R115" s="16">
        <f t="shared" si="6"/>
        <v>14.210526315789474</v>
      </c>
      <c r="S115" s="16">
        <f t="shared" si="7"/>
        <v>46.31578947368421</v>
      </c>
      <c r="T115" s="42">
        <f t="shared" si="8"/>
        <v>0</v>
      </c>
      <c r="U115" s="60">
        <f t="shared" si="9"/>
        <v>1</v>
      </c>
      <c r="V115" s="9">
        <f t="shared" si="10"/>
        <v>14</v>
      </c>
      <c r="W115" s="9">
        <f t="shared" si="11"/>
        <v>6</v>
      </c>
      <c r="X115" s="9">
        <f t="shared" si="12"/>
        <v>22</v>
      </c>
      <c r="Y115" s="9">
        <f t="shared" si="13"/>
        <v>0</v>
      </c>
      <c r="Z115">
        <f t="shared" si="14"/>
        <v>0</v>
      </c>
      <c r="AA115" s="2">
        <f t="shared" si="15"/>
        <v>3</v>
      </c>
      <c r="AB115" s="9" t="s">
        <v>1468</v>
      </c>
      <c r="AC115" s="9"/>
    </row>
    <row r="116" spans="1:29" ht="12.75">
      <c r="A116" s="9">
        <f t="shared" si="0"/>
        <v>210</v>
      </c>
      <c r="B116">
        <v>50</v>
      </c>
      <c r="C116" s="2">
        <f t="shared" si="1"/>
        <v>1.763698105255598</v>
      </c>
      <c r="D116" s="2">
        <f t="shared" si="2"/>
        <v>0.11023113157847488</v>
      </c>
      <c r="E116" s="11" t="s">
        <v>1321</v>
      </c>
      <c r="F116" s="9">
        <v>50</v>
      </c>
      <c r="G116">
        <v>210</v>
      </c>
      <c r="H116">
        <v>7</v>
      </c>
      <c r="I116" s="10">
        <v>4.5</v>
      </c>
      <c r="J116">
        <v>3</v>
      </c>
      <c r="K116">
        <v>21</v>
      </c>
      <c r="L116">
        <v>14</v>
      </c>
      <c r="M116">
        <v>15</v>
      </c>
      <c r="N116">
        <v>0.5</v>
      </c>
      <c r="O116" s="2">
        <f t="shared" si="3"/>
        <v>4.2</v>
      </c>
      <c r="P116" s="16">
        <f t="shared" si="4"/>
        <v>28.571428571428573</v>
      </c>
      <c r="Q116" s="9">
        <f t="shared" si="5"/>
        <v>30</v>
      </c>
      <c r="R116" s="29">
        <f t="shared" si="6"/>
        <v>19.285714285714285</v>
      </c>
      <c r="S116" s="16">
        <f>100*K116*4/G116</f>
        <v>40</v>
      </c>
      <c r="T116" s="9">
        <f t="shared" si="8"/>
        <v>1</v>
      </c>
      <c r="U116" s="60">
        <f t="shared" si="9"/>
        <v>1</v>
      </c>
      <c r="V116" s="16">
        <f t="shared" si="10"/>
        <v>15</v>
      </c>
      <c r="W116" s="9">
        <f t="shared" si="11"/>
        <v>7</v>
      </c>
      <c r="X116" s="9">
        <f t="shared" si="12"/>
        <v>21</v>
      </c>
      <c r="Y116" s="16">
        <f t="shared" si="13"/>
        <v>0.5</v>
      </c>
      <c r="Z116">
        <f t="shared" si="14"/>
        <v>3</v>
      </c>
      <c r="AA116" s="2">
        <f t="shared" si="15"/>
        <v>4.5</v>
      </c>
      <c r="AB116" s="11" t="s">
        <v>532</v>
      </c>
      <c r="AC116" s="9"/>
    </row>
    <row r="117" spans="1:29" ht="12.75">
      <c r="A117" s="9">
        <f t="shared" si="0"/>
        <v>420</v>
      </c>
      <c r="B117" s="9">
        <f>2*53.2</f>
        <v>106.4</v>
      </c>
      <c r="C117" s="2">
        <f t="shared" si="1"/>
        <v>3.753149567983913</v>
      </c>
      <c r="D117" s="2">
        <f t="shared" si="2"/>
        <v>0.23457184799899455</v>
      </c>
      <c r="E117" s="11" t="s">
        <v>1629</v>
      </c>
      <c r="F117">
        <v>53.2</v>
      </c>
      <c r="G117">
        <v>210</v>
      </c>
      <c r="H117">
        <v>6</v>
      </c>
      <c r="I117" s="10">
        <v>1</v>
      </c>
      <c r="J117">
        <v>0</v>
      </c>
      <c r="K117">
        <v>29</v>
      </c>
      <c r="L117">
        <v>14</v>
      </c>
      <c r="M117">
        <v>8</v>
      </c>
      <c r="N117">
        <v>5</v>
      </c>
      <c r="O117" s="2">
        <f t="shared" si="3"/>
        <v>3.9473684210526314</v>
      </c>
      <c r="P117" s="16">
        <f t="shared" si="4"/>
        <v>15.238095238095237</v>
      </c>
      <c r="Q117" s="9">
        <f t="shared" si="5"/>
        <v>25.714285714285715</v>
      </c>
      <c r="R117" s="16">
        <f t="shared" si="6"/>
        <v>4.285714285714286</v>
      </c>
      <c r="S117" s="16">
        <f>100*K117*4/G117</f>
        <v>55.23809523809524</v>
      </c>
      <c r="T117" s="16">
        <f t="shared" si="8"/>
        <v>9.398496240601503</v>
      </c>
      <c r="U117" s="60">
        <f t="shared" si="9"/>
        <v>2</v>
      </c>
      <c r="V117" s="16">
        <f t="shared" si="10"/>
        <v>16</v>
      </c>
      <c r="W117" s="9">
        <f t="shared" si="11"/>
        <v>12</v>
      </c>
      <c r="X117" s="9">
        <f t="shared" si="12"/>
        <v>58</v>
      </c>
      <c r="Y117" s="16">
        <f t="shared" si="13"/>
        <v>10</v>
      </c>
      <c r="Z117">
        <f t="shared" si="14"/>
        <v>0</v>
      </c>
      <c r="AA117" s="2">
        <f t="shared" si="15"/>
        <v>2</v>
      </c>
      <c r="AB117" s="11"/>
      <c r="AC117" s="9"/>
    </row>
    <row r="118" spans="1:29" ht="12.75">
      <c r="A118">
        <f t="shared" si="0"/>
        <v>1026.0714285714284</v>
      </c>
      <c r="B118">
        <v>169</v>
      </c>
      <c r="C118" s="2">
        <f t="shared" si="1"/>
        <v>5.961299595763921</v>
      </c>
      <c r="D118" s="2">
        <f t="shared" si="2"/>
        <v>0.3725812247352451</v>
      </c>
      <c r="E118" s="11" t="s">
        <v>1845</v>
      </c>
      <c r="F118" s="9">
        <v>28</v>
      </c>
      <c r="G118">
        <v>170</v>
      </c>
      <c r="H118">
        <v>13</v>
      </c>
      <c r="I118" s="2">
        <v>3</v>
      </c>
      <c r="J118">
        <v>0</v>
      </c>
      <c r="K118">
        <v>9</v>
      </c>
      <c r="L118">
        <v>2</v>
      </c>
      <c r="M118">
        <v>5</v>
      </c>
      <c r="N118">
        <v>1</v>
      </c>
      <c r="O118" s="32">
        <f t="shared" si="3"/>
        <v>6.071428571428571</v>
      </c>
      <c r="P118" s="9">
        <f t="shared" si="4"/>
        <v>11.764705882352942</v>
      </c>
      <c r="Q118" s="9">
        <f t="shared" si="5"/>
        <v>68.82352941176471</v>
      </c>
      <c r="R118" s="29">
        <f t="shared" si="6"/>
        <v>15.882352941176471</v>
      </c>
      <c r="S118" s="16">
        <f>100*K118*4/G118</f>
        <v>21.176470588235293</v>
      </c>
      <c r="T118" s="9">
        <f t="shared" si="8"/>
        <v>3.5714285714285716</v>
      </c>
      <c r="U118" s="60">
        <f t="shared" si="9"/>
        <v>6.035714285714286</v>
      </c>
      <c r="V118" s="9">
        <f t="shared" si="10"/>
        <v>30.178571428571427</v>
      </c>
      <c r="W118" s="9">
        <f t="shared" si="11"/>
        <v>78.46428571428571</v>
      </c>
      <c r="X118" s="9">
        <f t="shared" si="12"/>
        <v>54.32142857142857</v>
      </c>
      <c r="Y118" s="9">
        <f t="shared" si="13"/>
        <v>6.035714285714286</v>
      </c>
      <c r="Z118">
        <f t="shared" si="14"/>
        <v>0</v>
      </c>
      <c r="AA118" s="2">
        <f t="shared" si="15"/>
        <v>18.107142857142858</v>
      </c>
      <c r="AB118" s="9" t="s">
        <v>528</v>
      </c>
      <c r="AC118" s="9"/>
    </row>
    <row r="119" spans="1:29" ht="12.75">
      <c r="A119" s="9">
        <f t="shared" si="0"/>
        <v>294.6666666666667</v>
      </c>
      <c r="B119">
        <v>52</v>
      </c>
      <c r="C119" s="2">
        <f t="shared" si="1"/>
        <v>1.834246029465822</v>
      </c>
      <c r="D119" s="2">
        <f t="shared" si="2"/>
        <v>0.11464037684161388</v>
      </c>
      <c r="E119" s="11" t="s">
        <v>1630</v>
      </c>
      <c r="F119" s="9">
        <v>30</v>
      </c>
      <c r="G119">
        <v>170</v>
      </c>
      <c r="H119">
        <v>15</v>
      </c>
      <c r="I119" s="10">
        <v>1</v>
      </c>
      <c r="J119">
        <v>0</v>
      </c>
      <c r="K119">
        <v>5</v>
      </c>
      <c r="L119">
        <v>1</v>
      </c>
      <c r="M119">
        <v>7</v>
      </c>
      <c r="N119">
        <v>4</v>
      </c>
      <c r="O119" s="2">
        <f t="shared" si="3"/>
        <v>5.666666666666667</v>
      </c>
      <c r="P119" s="9">
        <f t="shared" si="4"/>
        <v>16.470588235294116</v>
      </c>
      <c r="Q119" s="29">
        <f t="shared" si="5"/>
        <v>79.41176470588235</v>
      </c>
      <c r="R119" s="42">
        <f t="shared" si="6"/>
        <v>5.294117647058823</v>
      </c>
      <c r="S119" s="16">
        <f>100*K119*4/G119</f>
        <v>11.764705882352942</v>
      </c>
      <c r="T119" s="29">
        <f t="shared" si="8"/>
        <v>13.333333333333334</v>
      </c>
      <c r="U119" s="60">
        <f t="shared" si="9"/>
        <v>1.7333333333333334</v>
      </c>
      <c r="V119" s="9">
        <f t="shared" si="10"/>
        <v>12.133333333333333</v>
      </c>
      <c r="W119" s="9">
        <f t="shared" si="11"/>
        <v>26</v>
      </c>
      <c r="X119" s="9">
        <f t="shared" si="12"/>
        <v>8.666666666666668</v>
      </c>
      <c r="Y119" s="9">
        <f t="shared" si="13"/>
        <v>6.933333333333334</v>
      </c>
      <c r="Z119">
        <f t="shared" si="14"/>
        <v>0</v>
      </c>
      <c r="AA119" s="2">
        <f t="shared" si="15"/>
        <v>1.7333333333333334</v>
      </c>
      <c r="AB119" s="9" t="s">
        <v>527</v>
      </c>
      <c r="AC119" s="9"/>
    </row>
    <row r="120" spans="1:29" ht="12.75">
      <c r="A120" s="9">
        <f t="shared" si="0"/>
        <v>420</v>
      </c>
      <c r="B120">
        <v>70</v>
      </c>
      <c r="C120" s="2">
        <f t="shared" si="1"/>
        <v>2.4691773473578373</v>
      </c>
      <c r="D120" s="2">
        <f t="shared" si="2"/>
        <v>0.15432358420986483</v>
      </c>
      <c r="E120" s="11" t="s">
        <v>564</v>
      </c>
      <c r="F120" s="9">
        <v>30</v>
      </c>
      <c r="G120">
        <v>180</v>
      </c>
      <c r="H120">
        <v>13</v>
      </c>
      <c r="I120" s="10">
        <v>1.5</v>
      </c>
      <c r="J120">
        <v>0</v>
      </c>
      <c r="K120">
        <v>9</v>
      </c>
      <c r="L120">
        <v>2</v>
      </c>
      <c r="M120">
        <v>6</v>
      </c>
      <c r="N120">
        <v>3</v>
      </c>
      <c r="O120" s="32">
        <f t="shared" si="3"/>
        <v>6</v>
      </c>
      <c r="P120" s="9">
        <f t="shared" si="4"/>
        <v>13.333333333333334</v>
      </c>
      <c r="Q120" s="16">
        <f t="shared" si="5"/>
        <v>65</v>
      </c>
      <c r="R120" s="16">
        <f t="shared" si="6"/>
        <v>7.5</v>
      </c>
      <c r="S120" s="16">
        <f>100*K120*4/G120</f>
        <v>20</v>
      </c>
      <c r="T120" s="29">
        <f t="shared" si="8"/>
        <v>10</v>
      </c>
      <c r="U120" s="60">
        <f t="shared" si="9"/>
        <v>2.3333333333333335</v>
      </c>
      <c r="V120" s="9">
        <f t="shared" si="10"/>
        <v>14</v>
      </c>
      <c r="W120" s="9">
        <f t="shared" si="11"/>
        <v>30.333333333333336</v>
      </c>
      <c r="X120" s="9">
        <f t="shared" si="12"/>
        <v>21</v>
      </c>
      <c r="Y120" s="9">
        <f t="shared" si="13"/>
        <v>7</v>
      </c>
      <c r="Z120" s="9">
        <f t="shared" si="14"/>
        <v>0</v>
      </c>
      <c r="AA120" s="2">
        <f t="shared" si="15"/>
        <v>3.5</v>
      </c>
      <c r="AB120" s="9" t="s">
        <v>570</v>
      </c>
      <c r="AC120" s="9"/>
    </row>
    <row r="121" spans="1:29" ht="12.75">
      <c r="A121" s="9"/>
      <c r="C121" s="2"/>
      <c r="D121" s="2"/>
      <c r="E121" s="11"/>
      <c r="F121" s="9"/>
      <c r="I121" s="6"/>
      <c r="O121" s="2"/>
      <c r="P121" s="9"/>
      <c r="Q121" s="29"/>
      <c r="R121" s="16"/>
      <c r="S121" s="9"/>
      <c r="T121" s="29"/>
      <c r="U121" s="2"/>
      <c r="V121" s="9"/>
      <c r="W121" s="9"/>
      <c r="X121" s="9"/>
      <c r="Y121" s="9"/>
      <c r="AA121" s="9"/>
      <c r="AB121" s="9"/>
      <c r="AC121" s="9"/>
    </row>
    <row r="122" spans="1:27" ht="12.75">
      <c r="A122" s="9">
        <f>SUM(A107:A121)</f>
        <v>6601.271708683473</v>
      </c>
      <c r="B122" s="9">
        <f>SUM(B107:B121)</f>
        <v>1449.4</v>
      </c>
      <c r="C122" s="9">
        <f>SUM(C107:C121)</f>
        <v>51.126080675149275</v>
      </c>
      <c r="D122" s="2">
        <f>C122/16</f>
        <v>3.1953800421968297</v>
      </c>
      <c r="E122" s="11" t="s">
        <v>1507</v>
      </c>
      <c r="J122" s="3"/>
      <c r="K122" s="3"/>
      <c r="L122" s="3"/>
      <c r="M122" s="9"/>
      <c r="O122" s="3"/>
      <c r="V122" s="9">
        <f aca="true" t="shared" si="16" ref="V122:AA122">SUM(V107:V121)</f>
        <v>170.5890476190476</v>
      </c>
      <c r="W122" s="9">
        <f t="shared" si="16"/>
        <v>293.9733333333333</v>
      </c>
      <c r="X122" s="9">
        <f t="shared" si="16"/>
        <v>835.9463305322129</v>
      </c>
      <c r="Y122" s="9">
        <f t="shared" si="16"/>
        <v>41.42904761904762</v>
      </c>
      <c r="Z122" s="9">
        <f t="shared" si="16"/>
        <v>165.57285714285715</v>
      </c>
      <c r="AA122" s="9">
        <f t="shared" si="16"/>
        <v>92.57833333333333</v>
      </c>
    </row>
    <row r="123" spans="1:28" ht="12.75">
      <c r="A123" s="9">
        <f>V123+W123+X123</f>
        <v>6671.901512605042</v>
      </c>
      <c r="C123" s="2"/>
      <c r="D123" s="2"/>
      <c r="F123">
        <v>1.66</v>
      </c>
      <c r="G123" t="s">
        <v>534</v>
      </c>
      <c r="I123" s="34">
        <f>A122/F123</f>
        <v>3976.669704026189</v>
      </c>
      <c r="J123" t="s">
        <v>536</v>
      </c>
      <c r="L123" s="110">
        <f>V122/F123</f>
        <v>102.76448651749855</v>
      </c>
      <c r="M123" t="s">
        <v>535</v>
      </c>
      <c r="O123">
        <f>Y122/F123</f>
        <v>24.95725760183592</v>
      </c>
      <c r="P123" t="s">
        <v>554</v>
      </c>
      <c r="R123">
        <f>AA122/F123</f>
        <v>55.77008032128514</v>
      </c>
      <c r="S123" t="s">
        <v>555</v>
      </c>
      <c r="V123" s="35">
        <f>4*V122</f>
        <v>682.3561904761904</v>
      </c>
      <c r="W123" s="35">
        <f>9*W122</f>
        <v>2645.7599999999998</v>
      </c>
      <c r="X123" s="35">
        <f>4*X122</f>
        <v>3343.7853221288515</v>
      </c>
      <c r="Y123" s="35"/>
      <c r="AA123" s="34">
        <f>9*AA122</f>
        <v>833.205</v>
      </c>
      <c r="AB123" t="s">
        <v>697</v>
      </c>
    </row>
    <row r="124" spans="2:28" ht="12.75">
      <c r="B124" s="9"/>
      <c r="C124" s="2"/>
      <c r="D124" s="2"/>
      <c r="E124" s="11"/>
      <c r="I124" s="34">
        <v>3500</v>
      </c>
      <c r="J124" t="s">
        <v>1324</v>
      </c>
      <c r="V124" s="9">
        <f>V123*100/A122</f>
        <v>10.336738443572964</v>
      </c>
      <c r="W124" s="9">
        <f>100*W123/A122</f>
        <v>40.079550073960796</v>
      </c>
      <c r="X124" s="9">
        <f>X123*100/A122</f>
        <v>50.65365386688076</v>
      </c>
      <c r="Y124" s="2">
        <f>100*Y122/A122</f>
        <v>0.6275919163356184</v>
      </c>
      <c r="AA124">
        <f>100*AA123/A122</f>
        <v>12.621886157238187</v>
      </c>
      <c r="AB124" t="s">
        <v>1786</v>
      </c>
    </row>
    <row r="125" spans="2:11" ht="12.75">
      <c r="B125" s="9"/>
      <c r="C125" s="2"/>
      <c r="D125" s="2"/>
      <c r="K125" s="33" t="s">
        <v>587</v>
      </c>
    </row>
    <row r="126" spans="2:12" ht="12.75">
      <c r="B126" s="9"/>
      <c r="C126" s="2"/>
      <c r="D126" s="2"/>
      <c r="E126" s="11"/>
      <c r="L126" t="s">
        <v>586</v>
      </c>
    </row>
    <row r="127" spans="2:12" ht="12.75">
      <c r="B127" s="9"/>
      <c r="C127" s="2"/>
      <c r="D127" s="2"/>
      <c r="L127" t="s">
        <v>1781</v>
      </c>
    </row>
    <row r="128" spans="2:12" ht="12.75">
      <c r="B128" s="9"/>
      <c r="C128" s="2"/>
      <c r="D128" s="2"/>
      <c r="E128" s="11"/>
      <c r="L128" t="s">
        <v>1796</v>
      </c>
    </row>
    <row r="129" spans="2:12" ht="12.75">
      <c r="B129" s="9"/>
      <c r="C129" s="2"/>
      <c r="D129" s="2"/>
      <c r="E129" s="11"/>
      <c r="L129" s="27" t="s">
        <v>1789</v>
      </c>
    </row>
    <row r="130" spans="2:5" ht="12.75">
      <c r="B130" s="9">
        <v>33</v>
      </c>
      <c r="C130" t="s">
        <v>239</v>
      </c>
      <c r="E130" s="11" t="s">
        <v>254</v>
      </c>
    </row>
    <row r="132" spans="3:9" ht="15">
      <c r="C132" s="2"/>
      <c r="D132" s="2"/>
      <c r="I132" s="31"/>
    </row>
    <row r="133" spans="3:9" ht="15">
      <c r="C133" s="2"/>
      <c r="D133" s="2"/>
      <c r="I133" s="31"/>
    </row>
    <row r="134" spans="3:9" ht="15">
      <c r="C134" s="2"/>
      <c r="D134" s="2"/>
      <c r="I134" s="31"/>
    </row>
    <row r="135" spans="2:4" ht="12.75">
      <c r="B135" s="9"/>
      <c r="C135" s="2"/>
      <c r="D135" s="2"/>
    </row>
    <row r="136" spans="2:4" ht="12.75">
      <c r="B136" s="9"/>
      <c r="C136" s="2"/>
      <c r="D136" s="2"/>
    </row>
    <row r="137" spans="2:4" ht="12.75">
      <c r="B137" s="9"/>
      <c r="C137" s="2"/>
      <c r="D137" s="2"/>
    </row>
    <row r="138" spans="2:4" ht="12.75">
      <c r="B138" s="9"/>
      <c r="C138" s="2"/>
      <c r="D138" s="2"/>
    </row>
    <row r="143" spans="2:4" ht="12.75">
      <c r="B143" s="9"/>
      <c r="C143" s="2"/>
      <c r="D143" s="2"/>
    </row>
    <row r="144" spans="2:5" ht="12.75">
      <c r="B144" s="9"/>
      <c r="C144" s="2"/>
      <c r="D144" s="2"/>
      <c r="E144" s="11"/>
    </row>
    <row r="145" spans="2:4" ht="12.75">
      <c r="B145" s="9"/>
      <c r="C145" s="2"/>
      <c r="D145" s="2"/>
    </row>
    <row r="146" spans="2:4" ht="12.75">
      <c r="B146" s="9"/>
      <c r="C146" s="2"/>
      <c r="D146" s="2"/>
    </row>
    <row r="147" spans="2:4" ht="12.75">
      <c r="B147" s="16"/>
      <c r="C147" s="2"/>
      <c r="D147" s="2"/>
    </row>
    <row r="148" spans="2:4" ht="12.75">
      <c r="B148" s="9"/>
      <c r="C148" s="2"/>
      <c r="D148" s="2"/>
    </row>
    <row r="149" spans="2:5" ht="12.75">
      <c r="B149" s="9"/>
      <c r="C149" s="2"/>
      <c r="D149" s="2"/>
      <c r="E149" s="11"/>
    </row>
    <row r="150" spans="2:5" ht="12.75">
      <c r="B150" s="9"/>
      <c r="C150" s="2"/>
      <c r="D150" s="2"/>
      <c r="E150" s="11"/>
    </row>
    <row r="151" spans="2:5" ht="12.75">
      <c r="B151" s="9"/>
      <c r="C151" s="2"/>
      <c r="D151" s="2"/>
      <c r="E151" s="11"/>
    </row>
    <row r="152" spans="2:5" ht="12.75">
      <c r="B152" s="16"/>
      <c r="C152" s="2"/>
      <c r="D152" s="2"/>
      <c r="E152" s="13"/>
    </row>
    <row r="153" spans="2:4" ht="12.75">
      <c r="B153" s="9"/>
      <c r="C153" s="2"/>
      <c r="D153" s="2"/>
    </row>
    <row r="154" ht="12.75">
      <c r="B154" s="9"/>
    </row>
    <row r="155" ht="12.75">
      <c r="B155" s="9"/>
    </row>
    <row r="156" ht="12.75">
      <c r="B156" s="9"/>
    </row>
    <row r="157" ht="12.75">
      <c r="B157" s="9"/>
    </row>
    <row r="158" ht="12.75">
      <c r="B158" s="9"/>
    </row>
    <row r="159" ht="12.75">
      <c r="B159" s="9"/>
    </row>
    <row r="160" ht="12.75">
      <c r="B160" s="9"/>
    </row>
    <row r="161" ht="12.75">
      <c r="B161" s="9"/>
    </row>
    <row r="162" ht="12.75">
      <c r="B162" s="9"/>
    </row>
    <row r="163" ht="12.75">
      <c r="B163" s="9"/>
    </row>
    <row r="164" ht="12.75">
      <c r="B164" s="9"/>
    </row>
    <row r="165" ht="12.75">
      <c r="B165" s="9"/>
    </row>
  </sheetData>
  <printOptions/>
  <pageMargins left="0.7" right="0.75" top="0.43" bottom="0.76" header="0.34" footer="0.5"/>
  <pageSetup horizontalDpi="300" verticalDpi="300" orientation="portrait" r:id="rId1"/>
  <ignoredErrors>
    <ignoredError sqref="W123" formula="1"/>
  </ignoredErrors>
</worksheet>
</file>

<file path=xl/worksheets/sheet22.xml><?xml version="1.0" encoding="utf-8"?>
<worksheet xmlns="http://schemas.openxmlformats.org/spreadsheetml/2006/main" xmlns:r="http://schemas.openxmlformats.org/officeDocument/2006/relationships">
  <dimension ref="A1:S212"/>
  <sheetViews>
    <sheetView workbookViewId="0" topLeftCell="A1">
      <pane ySplit="1" topLeftCell="BM65" activePane="bottomLeft" state="frozen"/>
      <selection pane="topLeft" activeCell="A1" sqref="A1"/>
      <selection pane="bottomLeft" activeCell="E3" sqref="E3"/>
    </sheetView>
  </sheetViews>
  <sheetFormatPr defaultColWidth="9.140625" defaultRowHeight="12.75"/>
  <cols>
    <col min="1" max="1" width="6.28125" style="0" customWidth="1"/>
    <col min="2" max="2" width="6.140625" style="0" customWidth="1"/>
    <col min="3" max="3" width="5.57421875" style="0" customWidth="1"/>
    <col min="4" max="4" width="5.7109375" style="0" customWidth="1"/>
    <col min="5" max="5" width="21.28125" style="12" customWidth="1"/>
    <col min="6" max="6" width="5.28125" style="0" customWidth="1"/>
    <col min="7" max="9" width="4.28125" style="0" customWidth="1"/>
    <col min="10" max="10" width="5.00390625" style="0" customWidth="1"/>
    <col min="11" max="11" width="4.8515625" style="0" customWidth="1"/>
    <col min="12" max="12" width="5.28125" style="0" customWidth="1"/>
    <col min="13" max="13" width="4.00390625" style="0" customWidth="1"/>
    <col min="14" max="14" width="6.00390625" style="0" customWidth="1"/>
    <col min="15" max="15" width="4.28125" style="0" customWidth="1"/>
  </cols>
  <sheetData>
    <row r="1" spans="1:6" ht="12.75">
      <c r="A1" t="s">
        <v>697</v>
      </c>
      <c r="B1" t="s">
        <v>1603</v>
      </c>
      <c r="C1" t="s">
        <v>2074</v>
      </c>
      <c r="D1" t="s">
        <v>1242</v>
      </c>
      <c r="E1" s="12" t="s">
        <v>2075</v>
      </c>
      <c r="F1" s="12" t="s">
        <v>1568</v>
      </c>
    </row>
    <row r="2" spans="2:3" ht="12.75">
      <c r="B2" s="9"/>
      <c r="C2" s="2"/>
    </row>
    <row r="3" spans="2:16" ht="12.75">
      <c r="B3" s="9">
        <v>39</v>
      </c>
      <c r="C3" s="2">
        <f aca="true" t="shared" si="0" ref="C3:C8">B3/28.349523</f>
        <v>1.3756845220993665</v>
      </c>
      <c r="D3" s="2">
        <f aca="true" t="shared" si="1" ref="D3:D8">C3/16</f>
        <v>0.08598028263121041</v>
      </c>
      <c r="E3" s="12" t="s">
        <v>1520</v>
      </c>
      <c r="P3" t="s">
        <v>1195</v>
      </c>
    </row>
    <row r="4" spans="2:16" ht="12.75">
      <c r="B4" s="9">
        <v>10</v>
      </c>
      <c r="C4" s="2">
        <f t="shared" si="0"/>
        <v>0.3527396210511196</v>
      </c>
      <c r="D4" s="2">
        <f t="shared" si="1"/>
        <v>0.022046226315694976</v>
      </c>
      <c r="E4" s="12" t="s">
        <v>1817</v>
      </c>
      <c r="P4" t="s">
        <v>1196</v>
      </c>
    </row>
    <row r="5" spans="2:16" ht="12.75">
      <c r="B5" s="9">
        <v>16</v>
      </c>
      <c r="C5" s="2">
        <f t="shared" si="0"/>
        <v>0.5643833936817914</v>
      </c>
      <c r="D5" s="2">
        <f t="shared" si="1"/>
        <v>0.03527396210511196</v>
      </c>
      <c r="E5" s="12" t="s">
        <v>1815</v>
      </c>
      <c r="P5" t="s">
        <v>1197</v>
      </c>
    </row>
    <row r="6" spans="2:16" ht="12.75">
      <c r="B6" s="9">
        <v>45</v>
      </c>
      <c r="C6" s="2">
        <f t="shared" si="0"/>
        <v>1.5873282947300382</v>
      </c>
      <c r="D6" s="2">
        <f t="shared" si="1"/>
        <v>0.09920801842062739</v>
      </c>
      <c r="E6" s="12" t="s">
        <v>1523</v>
      </c>
      <c r="P6" t="s">
        <v>1198</v>
      </c>
    </row>
    <row r="7" spans="2:16" ht="12.75">
      <c r="B7" s="9">
        <v>2</v>
      </c>
      <c r="C7" s="2">
        <f t="shared" si="0"/>
        <v>0.07054792421022392</v>
      </c>
      <c r="D7" s="2">
        <f t="shared" si="1"/>
        <v>0.004409245263138995</v>
      </c>
      <c r="E7" s="12" t="s">
        <v>340</v>
      </c>
      <c r="P7" t="s">
        <v>1199</v>
      </c>
    </row>
    <row r="8" spans="2:16" ht="12.75">
      <c r="B8" s="9">
        <v>19</v>
      </c>
      <c r="C8" s="2">
        <f t="shared" si="0"/>
        <v>0.6702052799971272</v>
      </c>
      <c r="D8" s="2">
        <f t="shared" si="1"/>
        <v>0.04188782999982045</v>
      </c>
      <c r="E8" s="12" t="s">
        <v>1471</v>
      </c>
      <c r="P8" t="s">
        <v>1200</v>
      </c>
    </row>
    <row r="9" spans="2:16" ht="12.75">
      <c r="B9" s="9"/>
      <c r="C9" s="2"/>
      <c r="D9" s="2"/>
      <c r="E9" s="4"/>
      <c r="P9" t="s">
        <v>1201</v>
      </c>
    </row>
    <row r="10" spans="2:16" ht="12.75">
      <c r="B10" s="9">
        <v>814</v>
      </c>
      <c r="C10" s="2">
        <f>B10/28.349523</f>
        <v>28.713005153561138</v>
      </c>
      <c r="D10" s="2">
        <f>C10/16</f>
        <v>1.7945628220975711</v>
      </c>
      <c r="E10" t="s">
        <v>1704</v>
      </c>
      <c r="P10" t="s">
        <v>1202</v>
      </c>
    </row>
    <row r="11" spans="2:5" ht="12.75">
      <c r="B11" s="9">
        <v>234</v>
      </c>
      <c r="C11" s="2">
        <f>B11/28.349523</f>
        <v>8.254107132596198</v>
      </c>
      <c r="D11" s="2">
        <f>C11/16</f>
        <v>0.5158816957872624</v>
      </c>
      <c r="E11" s="12" t="s">
        <v>1521</v>
      </c>
    </row>
    <row r="12" spans="2:5" ht="12.75">
      <c r="B12" s="9">
        <f>1105-230</f>
        <v>875</v>
      </c>
      <c r="C12" s="2">
        <f>B12/28.349523</f>
        <v>30.864716841972967</v>
      </c>
      <c r="D12" s="2">
        <f>C12/16</f>
        <v>1.9290448026233105</v>
      </c>
      <c r="E12" s="12" t="s">
        <v>1522</v>
      </c>
    </row>
    <row r="13" spans="2:5" ht="12.75">
      <c r="B13" s="6">
        <v>158</v>
      </c>
      <c r="C13" s="2">
        <f>B13/28.349523</f>
        <v>5.5732860126076895</v>
      </c>
      <c r="D13" s="3">
        <f>C13/16</f>
        <v>0.3483303757879806</v>
      </c>
      <c r="E13" s="4" t="s">
        <v>1527</v>
      </c>
    </row>
    <row r="14" spans="2:5" ht="12.75">
      <c r="B14" s="9">
        <v>34</v>
      </c>
      <c r="C14" s="2">
        <f>B14/28.349523</f>
        <v>1.1993147115738068</v>
      </c>
      <c r="D14" s="2">
        <f>C14/16</f>
        <v>0.07495716947336292</v>
      </c>
      <c r="E14" s="12" t="s">
        <v>1528</v>
      </c>
    </row>
    <row r="15" spans="2:5" ht="12.75">
      <c r="B15" s="16">
        <v>44</v>
      </c>
      <c r="C15" s="2">
        <f aca="true" t="shared" si="2" ref="C15:C21">B15/28.349523</f>
        <v>1.5520543326249263</v>
      </c>
      <c r="D15" s="2">
        <f aca="true" t="shared" si="3" ref="D15:D21">C15/16</f>
        <v>0.0970033957890579</v>
      </c>
      <c r="E15" s="11" t="s">
        <v>726</v>
      </c>
    </row>
    <row r="16" spans="2:5" ht="12.75">
      <c r="B16" s="9">
        <v>229</v>
      </c>
      <c r="C16" s="2">
        <f>B16/28.349523</f>
        <v>8.07773732207064</v>
      </c>
      <c r="D16" s="2">
        <f>C16/16</f>
        <v>0.504858582629415</v>
      </c>
      <c r="E16" t="s">
        <v>56</v>
      </c>
    </row>
    <row r="17" spans="2:5" ht="12.75">
      <c r="B17" s="9">
        <v>92</v>
      </c>
      <c r="C17" s="2">
        <f t="shared" si="2"/>
        <v>3.2452045136703003</v>
      </c>
      <c r="D17" s="2">
        <f t="shared" si="3"/>
        <v>0.20282528210439377</v>
      </c>
      <c r="E17" s="12" t="s">
        <v>1028</v>
      </c>
    </row>
    <row r="18" spans="2:5" ht="12.75">
      <c r="B18" s="9">
        <v>94</v>
      </c>
      <c r="C18" s="2">
        <f t="shared" si="2"/>
        <v>3.3157524378805245</v>
      </c>
      <c r="D18" s="2">
        <f t="shared" si="3"/>
        <v>0.20723452736753278</v>
      </c>
      <c r="E18" s="12" t="s">
        <v>1027</v>
      </c>
    </row>
    <row r="19" spans="2:5" ht="12.75">
      <c r="B19" s="9">
        <v>236</v>
      </c>
      <c r="C19" s="2">
        <f t="shared" si="2"/>
        <v>8.324655056806423</v>
      </c>
      <c r="D19" s="2">
        <f t="shared" si="3"/>
        <v>0.5202909410504014</v>
      </c>
      <c r="E19" t="s">
        <v>2071</v>
      </c>
    </row>
    <row r="20" spans="2:5" ht="12.75">
      <c r="B20" s="9">
        <v>107</v>
      </c>
      <c r="C20" s="2">
        <f t="shared" si="2"/>
        <v>3.7743139452469796</v>
      </c>
      <c r="D20" s="2">
        <f t="shared" si="3"/>
        <v>0.23589462157793623</v>
      </c>
      <c r="E20" t="s">
        <v>1554</v>
      </c>
    </row>
    <row r="21" spans="2:5" ht="12.75">
      <c r="B21" s="9">
        <f>112</f>
        <v>112</v>
      </c>
      <c r="C21" s="2">
        <f t="shared" si="2"/>
        <v>3.95068375577254</v>
      </c>
      <c r="D21" s="2">
        <f t="shared" si="3"/>
        <v>0.24691773473578374</v>
      </c>
      <c r="E21" s="12" t="s">
        <v>494</v>
      </c>
    </row>
    <row r="22" spans="2:5" ht="12.75">
      <c r="B22" s="17">
        <v>32</v>
      </c>
      <c r="C22" s="2">
        <f>B22/28.349523</f>
        <v>1.1287667873635827</v>
      </c>
      <c r="D22" s="2">
        <f>C22/16</f>
        <v>0.07054792421022392</v>
      </c>
      <c r="E22" s="13" t="s">
        <v>64</v>
      </c>
    </row>
    <row r="23" spans="2:5" ht="12.75">
      <c r="B23" s="9">
        <v>38</v>
      </c>
      <c r="C23" s="2">
        <f>B23/28.349523</f>
        <v>1.3404105599942544</v>
      </c>
      <c r="D23" s="2">
        <f>C23/16</f>
        <v>0.0837756599996409</v>
      </c>
      <c r="E23" s="12" t="s">
        <v>37</v>
      </c>
    </row>
    <row r="24" spans="2:5" ht="12.75">
      <c r="B24" s="9">
        <f>88/3</f>
        <v>29.333333333333332</v>
      </c>
      <c r="C24" s="2">
        <f>B24/28.349523</f>
        <v>1.0347028884166174</v>
      </c>
      <c r="D24" s="2">
        <f>C24/16</f>
        <v>0.06466893052603859</v>
      </c>
      <c r="E24" s="12" t="s">
        <v>320</v>
      </c>
    </row>
    <row r="25" spans="2:5" ht="12.75">
      <c r="B25" s="9">
        <v>56</v>
      </c>
      <c r="C25" s="2">
        <f>B25/28.349523</f>
        <v>1.97534187788627</v>
      </c>
      <c r="D25" s="2">
        <f>C25/16</f>
        <v>0.12345886736789187</v>
      </c>
      <c r="E25" s="12" t="s">
        <v>1033</v>
      </c>
    </row>
    <row r="26" spans="2:5" ht="12.75">
      <c r="B26" s="9">
        <v>87</v>
      </c>
      <c r="C26" s="2">
        <f>B26/28.349523</f>
        <v>3.0688347031447405</v>
      </c>
      <c r="D26" s="3">
        <f>C26/16</f>
        <v>0.19180216894654628</v>
      </c>
      <c r="E26" t="s">
        <v>373</v>
      </c>
    </row>
    <row r="27" spans="2:4" ht="12.75">
      <c r="B27" s="9"/>
      <c r="C27" s="2"/>
      <c r="D27" s="2"/>
    </row>
    <row r="28" spans="2:5" ht="12.75">
      <c r="B28" s="9">
        <v>12</v>
      </c>
      <c r="C28" s="2">
        <f aca="true" t="shared" si="4" ref="C28:C33">B28/28.349523</f>
        <v>0.42328754526134355</v>
      </c>
      <c r="D28" s="2">
        <f aca="true" t="shared" si="5" ref="D28:D33">C28/16</f>
        <v>0.02645547157883397</v>
      </c>
      <c r="E28" s="12" t="s">
        <v>1430</v>
      </c>
    </row>
    <row r="29" spans="2:5" ht="12.75">
      <c r="B29" s="9">
        <v>2</v>
      </c>
      <c r="C29" s="2">
        <f t="shared" si="4"/>
        <v>0.07054792421022392</v>
      </c>
      <c r="D29" s="2">
        <f t="shared" si="5"/>
        <v>0.004409245263138995</v>
      </c>
      <c r="E29" s="12" t="s">
        <v>1470</v>
      </c>
    </row>
    <row r="30" spans="2:5" ht="12.75">
      <c r="B30" s="9">
        <v>14</v>
      </c>
      <c r="C30" s="2">
        <f t="shared" si="4"/>
        <v>0.4938354694715675</v>
      </c>
      <c r="D30" s="2">
        <f t="shared" si="5"/>
        <v>0.030864716841972967</v>
      </c>
      <c r="E30" s="12" t="s">
        <v>1566</v>
      </c>
    </row>
    <row r="31" spans="2:4" ht="12.75">
      <c r="B31" s="9"/>
      <c r="C31" s="2"/>
      <c r="D31" s="2"/>
    </row>
    <row r="32" spans="2:5" ht="12.75">
      <c r="B32" s="9">
        <v>123</v>
      </c>
      <c r="C32" s="2">
        <f t="shared" si="4"/>
        <v>4.338697338928771</v>
      </c>
      <c r="D32" s="2">
        <f t="shared" si="5"/>
        <v>0.2711685836830482</v>
      </c>
      <c r="E32" s="12" t="s">
        <v>1474</v>
      </c>
    </row>
    <row r="33" spans="2:5" ht="12.75">
      <c r="B33" s="9">
        <v>651</v>
      </c>
      <c r="C33" s="2">
        <f t="shared" si="4"/>
        <v>22.963349330427885</v>
      </c>
      <c r="D33" s="2">
        <f t="shared" si="5"/>
        <v>1.4352093331517428</v>
      </c>
      <c r="E33" s="12" t="s">
        <v>1498</v>
      </c>
    </row>
    <row r="34" spans="2:4" ht="12.75">
      <c r="B34" s="9"/>
      <c r="C34" s="2"/>
      <c r="D34" s="2"/>
    </row>
    <row r="35" spans="2:5" ht="12.75">
      <c r="B35">
        <v>21</v>
      </c>
      <c r="C35" s="2">
        <f aca="true" t="shared" si="6" ref="C35:C43">B35/28.349523</f>
        <v>0.7407532042073511</v>
      </c>
      <c r="D35" s="2">
        <f aca="true" t="shared" si="7" ref="D35:D43">C35/16</f>
        <v>0.046297075262959446</v>
      </c>
      <c r="E35" s="4" t="s">
        <v>86</v>
      </c>
    </row>
    <row r="36" spans="2:5" ht="12.75">
      <c r="B36" s="9">
        <v>6</v>
      </c>
      <c r="C36" s="2">
        <f t="shared" si="6"/>
        <v>0.21164377263067177</v>
      </c>
      <c r="D36" s="2">
        <f t="shared" si="7"/>
        <v>0.013227735789416986</v>
      </c>
      <c r="E36" s="12" t="s">
        <v>1518</v>
      </c>
    </row>
    <row r="37" spans="2:5" ht="12.75">
      <c r="B37" s="9">
        <v>15</v>
      </c>
      <c r="C37" s="2">
        <f t="shared" si="6"/>
        <v>0.5291094315766794</v>
      </c>
      <c r="D37" s="2">
        <f t="shared" si="7"/>
        <v>0.033069339473542465</v>
      </c>
      <c r="E37" s="11" t="s">
        <v>1063</v>
      </c>
    </row>
    <row r="38" spans="2:5" ht="12.75">
      <c r="B38" s="9">
        <v>6</v>
      </c>
      <c r="C38" s="2">
        <f t="shared" si="6"/>
        <v>0.21164377263067177</v>
      </c>
      <c r="D38" s="2">
        <f t="shared" si="7"/>
        <v>0.013227735789416986</v>
      </c>
      <c r="E38" s="12" t="s">
        <v>1699</v>
      </c>
    </row>
    <row r="39" spans="2:5" ht="12.75">
      <c r="B39" s="9">
        <v>7</v>
      </c>
      <c r="C39" s="2">
        <f>B39/28.349523</f>
        <v>0.24691773473578374</v>
      </c>
      <c r="D39" s="3">
        <f>C39/16</f>
        <v>0.015432358420986484</v>
      </c>
      <c r="E39" s="4" t="s">
        <v>1524</v>
      </c>
    </row>
    <row r="40" spans="2:5" ht="12.75">
      <c r="B40" s="9">
        <v>10</v>
      </c>
      <c r="C40" s="2">
        <f t="shared" si="6"/>
        <v>0.3527396210511196</v>
      </c>
      <c r="D40" s="2">
        <f t="shared" si="7"/>
        <v>0.022046226315694976</v>
      </c>
      <c r="E40" s="12" t="s">
        <v>343</v>
      </c>
    </row>
    <row r="41" spans="2:5" ht="12.75">
      <c r="B41" s="9">
        <f>46/4</f>
        <v>11.5</v>
      </c>
      <c r="C41" s="2">
        <f t="shared" si="6"/>
        <v>0.40565056420878753</v>
      </c>
      <c r="D41" s="2">
        <f t="shared" si="7"/>
        <v>0.02535316026304922</v>
      </c>
      <c r="E41" s="12" t="s">
        <v>1532</v>
      </c>
    </row>
    <row r="42" spans="2:5" ht="12.75">
      <c r="B42" s="9">
        <v>4</v>
      </c>
      <c r="C42" s="2">
        <f t="shared" si="6"/>
        <v>0.14109584842044784</v>
      </c>
      <c r="D42" s="2">
        <f t="shared" si="7"/>
        <v>0.00881849052627799</v>
      </c>
      <c r="E42" s="12" t="s">
        <v>1565</v>
      </c>
    </row>
    <row r="43" spans="2:5" ht="12.75">
      <c r="B43" s="9">
        <v>3</v>
      </c>
      <c r="C43" s="2">
        <f t="shared" si="6"/>
        <v>0.10582188631533589</v>
      </c>
      <c r="D43" s="2">
        <f t="shared" si="7"/>
        <v>0.006613867894708493</v>
      </c>
      <c r="E43" s="12" t="s">
        <v>1525</v>
      </c>
    </row>
    <row r="44" spans="2:5" ht="12.75">
      <c r="B44" s="9">
        <v>408</v>
      </c>
      <c r="C44" s="2">
        <f>B44/28.349523</f>
        <v>14.39177653888568</v>
      </c>
      <c r="D44" s="2">
        <f>C44/16</f>
        <v>0.899486033680355</v>
      </c>
      <c r="E44" s="11" t="s">
        <v>1011</v>
      </c>
    </row>
    <row r="45" spans="2:5" ht="12.75">
      <c r="B45" s="9">
        <v>593</v>
      </c>
      <c r="C45" s="2">
        <f>B45/28.349523</f>
        <v>20.917459528331392</v>
      </c>
      <c r="D45" s="2">
        <f>C45/16</f>
        <v>1.307341220520712</v>
      </c>
      <c r="E45" s="12" t="s">
        <v>339</v>
      </c>
    </row>
    <row r="46" spans="2:15" ht="39">
      <c r="B46" s="9"/>
      <c r="C46" s="2"/>
      <c r="D46" s="2"/>
      <c r="E46" s="11"/>
      <c r="F46" s="1" t="s">
        <v>948</v>
      </c>
      <c r="G46" s="1" t="s">
        <v>1551</v>
      </c>
      <c r="H46" s="1" t="s">
        <v>1552</v>
      </c>
      <c r="I46" s="1" t="s">
        <v>1553</v>
      </c>
      <c r="J46" s="1" t="s">
        <v>1534</v>
      </c>
      <c r="K46" s="1" t="s">
        <v>1535</v>
      </c>
      <c r="L46" s="1" t="s">
        <v>1536</v>
      </c>
      <c r="M46" s="1" t="s">
        <v>1537</v>
      </c>
      <c r="N46" s="1" t="s">
        <v>1540</v>
      </c>
      <c r="O46" s="1" t="s">
        <v>1546</v>
      </c>
    </row>
    <row r="47" spans="1:15" ht="12.75">
      <c r="A47" s="9">
        <f aca="true" t="shared" si="8" ref="A47:A52">B47*F47</f>
        <v>391.93548387096774</v>
      </c>
      <c r="B47" s="9">
        <v>81</v>
      </c>
      <c r="C47" s="2">
        <f aca="true" t="shared" si="9" ref="C47:C62">B47/28.349523</f>
        <v>2.857190930514069</v>
      </c>
      <c r="D47" s="2">
        <f aca="true" t="shared" si="10" ref="D47:D62">C47/16</f>
        <v>0.17857443315712931</v>
      </c>
      <c r="E47" s="11" t="s">
        <v>1539</v>
      </c>
      <c r="F47" s="3">
        <f>150/31</f>
        <v>4.838709677419355</v>
      </c>
      <c r="G47" s="3">
        <f>2/31</f>
        <v>0.06451612903225806</v>
      </c>
      <c r="H47" s="3">
        <f>6/31</f>
        <v>0.1935483870967742</v>
      </c>
      <c r="I47" s="3">
        <f>21/31</f>
        <v>0.6774193548387096</v>
      </c>
      <c r="J47" s="9">
        <f>(B47/31)*50</f>
        <v>130.64516129032256</v>
      </c>
      <c r="K47" s="9">
        <f>4*M47</f>
        <v>20.903225806451612</v>
      </c>
      <c r="L47" s="9">
        <f>I47*B47*4</f>
        <v>219.48387096774192</v>
      </c>
      <c r="M47" s="9">
        <f>G47*B47</f>
        <v>5.225806451612903</v>
      </c>
      <c r="N47" s="9">
        <f aca="true" t="shared" si="11" ref="N47:N63">L47+K47+J47</f>
        <v>371.0322580645161</v>
      </c>
      <c r="O47" s="3">
        <f aca="true" t="shared" si="12" ref="O47:O63">N47/A47</f>
        <v>0.9466666666666665</v>
      </c>
    </row>
    <row r="48" spans="1:15" ht="12.75">
      <c r="A48" s="9">
        <f t="shared" si="8"/>
        <v>282.8571428571429</v>
      </c>
      <c r="B48" s="9">
        <v>99</v>
      </c>
      <c r="C48" s="2">
        <f t="shared" si="9"/>
        <v>3.4921222484060843</v>
      </c>
      <c r="D48" s="2">
        <f t="shared" si="10"/>
        <v>0.21825764052538027</v>
      </c>
      <c r="E48" s="11" t="s">
        <v>1060</v>
      </c>
      <c r="F48" s="3">
        <f>80/28</f>
        <v>2.857142857142857</v>
      </c>
      <c r="G48" s="3">
        <f>15/28</f>
        <v>0.5357142857142857</v>
      </c>
      <c r="H48" s="3">
        <f>1/28</f>
        <v>0.03571428571428571</v>
      </c>
      <c r="I48" s="3">
        <f>4/28</f>
        <v>0.14285714285714285</v>
      </c>
      <c r="J48" s="9">
        <f>5*(B48/28)</f>
        <v>17.678571428571427</v>
      </c>
      <c r="K48" s="9">
        <f>4*M48</f>
        <v>212.14285714285714</v>
      </c>
      <c r="L48" s="9">
        <f>I48*B48*4</f>
        <v>56.57142857142857</v>
      </c>
      <c r="M48" s="9">
        <f>(15/28)*B48</f>
        <v>53.035714285714285</v>
      </c>
      <c r="N48" s="9">
        <f t="shared" si="11"/>
        <v>286.39285714285717</v>
      </c>
      <c r="O48" s="3">
        <f t="shared" si="12"/>
        <v>1.0125</v>
      </c>
    </row>
    <row r="49" spans="1:15" ht="12.75">
      <c r="A49" s="9">
        <f t="shared" si="8"/>
        <v>66</v>
      </c>
      <c r="B49" s="9">
        <v>22</v>
      </c>
      <c r="C49" s="2">
        <f t="shared" si="9"/>
        <v>0.7760271663124632</v>
      </c>
      <c r="D49" s="2">
        <f t="shared" si="10"/>
        <v>0.04850169789452895</v>
      </c>
      <c r="E49" s="11" t="s">
        <v>1542</v>
      </c>
      <c r="F49" s="3">
        <v>3</v>
      </c>
      <c r="G49" s="3">
        <v>0</v>
      </c>
      <c r="H49" s="3">
        <v>0</v>
      </c>
      <c r="I49" s="3">
        <v>0.8</v>
      </c>
      <c r="J49" s="9">
        <v>0</v>
      </c>
      <c r="K49" s="9">
        <v>0</v>
      </c>
      <c r="L49" s="9">
        <f>I49*B49*4</f>
        <v>70.4</v>
      </c>
      <c r="M49" s="9">
        <v>0</v>
      </c>
      <c r="N49" s="9">
        <f t="shared" si="11"/>
        <v>70.4</v>
      </c>
      <c r="O49" s="3">
        <f t="shared" si="12"/>
        <v>1.0666666666666667</v>
      </c>
    </row>
    <row r="50" spans="1:15" ht="12.75">
      <c r="A50" s="9">
        <f t="shared" si="8"/>
        <v>260</v>
      </c>
      <c r="B50" s="9">
        <f>2*49</f>
        <v>98</v>
      </c>
      <c r="C50" s="2">
        <f t="shared" si="9"/>
        <v>3.456848286300972</v>
      </c>
      <c r="D50" s="2">
        <f t="shared" si="10"/>
        <v>0.21605301789381076</v>
      </c>
      <c r="E50" s="11" t="s">
        <v>1543</v>
      </c>
      <c r="F50" s="3">
        <f>130/49</f>
        <v>2.6530612244897958</v>
      </c>
      <c r="G50" s="3">
        <f>4/49</f>
        <v>0.08163265306122448</v>
      </c>
      <c r="H50" s="3">
        <f>0.5/49</f>
        <v>0.01020408163265306</v>
      </c>
      <c r="I50" s="3">
        <f>28/49</f>
        <v>0.5714285714285714</v>
      </c>
      <c r="J50" s="9">
        <f>5/49*B50</f>
        <v>10</v>
      </c>
      <c r="K50" s="9">
        <f>4*M50</f>
        <v>31.999999999999996</v>
      </c>
      <c r="L50" s="9">
        <f aca="true" t="shared" si="13" ref="L50:L62">I50*B50*4</f>
        <v>224</v>
      </c>
      <c r="M50" s="9">
        <f>G50*B50</f>
        <v>7.999999999999999</v>
      </c>
      <c r="N50" s="9">
        <f t="shared" si="11"/>
        <v>266</v>
      </c>
      <c r="O50" s="3">
        <f t="shared" si="12"/>
        <v>1.023076923076923</v>
      </c>
    </row>
    <row r="51" spans="1:15" ht="12.75">
      <c r="A51" s="9">
        <f t="shared" si="8"/>
        <v>250</v>
      </c>
      <c r="B51" s="9">
        <v>40</v>
      </c>
      <c r="C51" s="2">
        <f t="shared" si="9"/>
        <v>1.4109584842044784</v>
      </c>
      <c r="D51" s="2">
        <f t="shared" si="10"/>
        <v>0.0881849052627799</v>
      </c>
      <c r="E51" s="11" t="s">
        <v>1541</v>
      </c>
      <c r="F51" s="3">
        <f>200/32</f>
        <v>6.25</v>
      </c>
      <c r="G51" s="3">
        <f>8/32</f>
        <v>0.25</v>
      </c>
      <c r="H51" s="3">
        <f>16/32</f>
        <v>0.5</v>
      </c>
      <c r="I51" s="3">
        <f>6/32</f>
        <v>0.1875</v>
      </c>
      <c r="J51" s="9">
        <f>B51*(150/32)</f>
        <v>187.5</v>
      </c>
      <c r="K51" s="9">
        <f>4*M51</f>
        <v>40</v>
      </c>
      <c r="L51" s="9">
        <f t="shared" si="13"/>
        <v>30</v>
      </c>
      <c r="M51" s="9">
        <f>G51*B51</f>
        <v>10</v>
      </c>
      <c r="N51" s="9">
        <f t="shared" si="11"/>
        <v>257.5</v>
      </c>
      <c r="O51" s="3">
        <f t="shared" si="12"/>
        <v>1.03</v>
      </c>
    </row>
    <row r="52" spans="1:15" ht="12.75">
      <c r="A52" s="9">
        <f t="shared" si="8"/>
        <v>1200.53</v>
      </c>
      <c r="B52" s="9">
        <v>443</v>
      </c>
      <c r="C52" s="2">
        <f t="shared" si="9"/>
        <v>15.626365212564599</v>
      </c>
      <c r="D52" s="2">
        <f t="shared" si="10"/>
        <v>0.9766478257852874</v>
      </c>
      <c r="E52" s="11" t="s">
        <v>39</v>
      </c>
      <c r="F52" s="3">
        <v>2.71</v>
      </c>
      <c r="G52" s="3">
        <f>2/50</f>
        <v>0.04</v>
      </c>
      <c r="H52" s="3">
        <v>0</v>
      </c>
      <c r="I52" s="3">
        <f>36/50</f>
        <v>0.72</v>
      </c>
      <c r="J52" s="9">
        <v>0</v>
      </c>
      <c r="K52" s="9">
        <f>4*M52</f>
        <v>64</v>
      </c>
      <c r="L52" s="9">
        <f t="shared" si="13"/>
        <v>1275.84</v>
      </c>
      <c r="M52" s="9">
        <f>8*2</f>
        <v>16</v>
      </c>
      <c r="N52" s="9">
        <f t="shared" si="11"/>
        <v>1339.84</v>
      </c>
      <c r="O52" s="3">
        <f t="shared" si="12"/>
        <v>1.1160404154831616</v>
      </c>
    </row>
    <row r="53" spans="1:15" ht="12.75">
      <c r="A53" s="9">
        <f>B53*F53</f>
        <v>1022</v>
      </c>
      <c r="B53" s="9">
        <v>292</v>
      </c>
      <c r="C53" s="2">
        <f t="shared" si="9"/>
        <v>10.299996934692693</v>
      </c>
      <c r="D53" s="2">
        <f t="shared" si="10"/>
        <v>0.6437498084182933</v>
      </c>
      <c r="E53" s="11" t="s">
        <v>950</v>
      </c>
      <c r="F53" s="3">
        <f>140/40</f>
        <v>3.5</v>
      </c>
      <c r="G53" s="3">
        <v>0</v>
      </c>
      <c r="H53" s="3">
        <v>0</v>
      </c>
      <c r="I53" s="3">
        <f>35/40</f>
        <v>0.875</v>
      </c>
      <c r="J53" s="9">
        <v>0</v>
      </c>
      <c r="K53" s="9">
        <v>0</v>
      </c>
      <c r="L53" s="9">
        <f t="shared" si="13"/>
        <v>1022</v>
      </c>
      <c r="M53" s="9">
        <v>0</v>
      </c>
      <c r="N53" s="9">
        <f t="shared" si="11"/>
        <v>1022</v>
      </c>
      <c r="O53" s="3">
        <f t="shared" si="12"/>
        <v>1</v>
      </c>
    </row>
    <row r="54" spans="1:15" ht="12.75">
      <c r="A54" s="9">
        <f aca="true" t="shared" si="14" ref="A54:A59">B54*F54</f>
        <v>793.3333333333333</v>
      </c>
      <c r="B54" s="9">
        <v>175</v>
      </c>
      <c r="C54" s="2">
        <f t="shared" si="9"/>
        <v>6.172943368394593</v>
      </c>
      <c r="D54" s="2">
        <f t="shared" si="10"/>
        <v>0.38580896052466207</v>
      </c>
      <c r="E54" s="11" t="s">
        <v>951</v>
      </c>
      <c r="F54" s="3">
        <f>136/30</f>
        <v>4.533333333333333</v>
      </c>
      <c r="G54" s="3">
        <f>11/30</f>
        <v>0.36666666666666664</v>
      </c>
      <c r="H54" s="3">
        <f>7/30</f>
        <v>0.23333333333333334</v>
      </c>
      <c r="I54" s="3">
        <f>9/30</f>
        <v>0.3</v>
      </c>
      <c r="J54" s="9">
        <f>B54*(63/30)</f>
        <v>367.5</v>
      </c>
      <c r="K54" s="9">
        <f aca="true" t="shared" si="15" ref="K54:K62">4*M54</f>
        <v>256.66666666666663</v>
      </c>
      <c r="L54" s="9">
        <f t="shared" si="13"/>
        <v>210</v>
      </c>
      <c r="M54" s="9">
        <f aca="true" t="shared" si="16" ref="M54:M59">G54*B54</f>
        <v>64.16666666666666</v>
      </c>
      <c r="N54" s="9">
        <f t="shared" si="11"/>
        <v>834.1666666666666</v>
      </c>
      <c r="O54" s="3">
        <f t="shared" si="12"/>
        <v>1.0514705882352942</v>
      </c>
    </row>
    <row r="55" spans="1:15" ht="12.75">
      <c r="A55" s="9">
        <f t="shared" si="14"/>
        <v>1287.6000000000001</v>
      </c>
      <c r="B55" s="9">
        <v>174</v>
      </c>
      <c r="C55" s="2">
        <f t="shared" si="9"/>
        <v>6.137669406289481</v>
      </c>
      <c r="D55" s="2">
        <f t="shared" si="10"/>
        <v>0.38360433789309256</v>
      </c>
      <c r="E55" s="11" t="s">
        <v>952</v>
      </c>
      <c r="F55" s="3">
        <f>222/30</f>
        <v>7.4</v>
      </c>
      <c r="G55" s="3">
        <f>4/30</f>
        <v>0.13333333333333333</v>
      </c>
      <c r="H55" s="3">
        <f>21/30</f>
        <v>0.7</v>
      </c>
      <c r="I55" s="3">
        <f>3/30</f>
        <v>0.1</v>
      </c>
      <c r="J55" s="9">
        <f>B55*(190/30)</f>
        <v>1102</v>
      </c>
      <c r="K55" s="9">
        <f t="shared" si="15"/>
        <v>92.8</v>
      </c>
      <c r="L55" s="9">
        <f t="shared" si="13"/>
        <v>69.60000000000001</v>
      </c>
      <c r="M55" s="9">
        <f t="shared" si="16"/>
        <v>23.2</v>
      </c>
      <c r="N55" s="9">
        <f t="shared" si="11"/>
        <v>1264.4</v>
      </c>
      <c r="O55" s="3">
        <f t="shared" si="12"/>
        <v>0.9819819819819819</v>
      </c>
    </row>
    <row r="56" spans="1:15" ht="12.75">
      <c r="A56" s="9">
        <f t="shared" si="14"/>
        <v>1092.857142857143</v>
      </c>
      <c r="B56" s="9">
        <v>153</v>
      </c>
      <c r="C56" s="2">
        <f t="shared" si="9"/>
        <v>5.39691620208213</v>
      </c>
      <c r="D56" s="2">
        <f t="shared" si="10"/>
        <v>0.3373072626301331</v>
      </c>
      <c r="E56" s="11" t="s">
        <v>953</v>
      </c>
      <c r="F56" s="3">
        <f>200/28</f>
        <v>7.142857142857143</v>
      </c>
      <c r="G56" s="3">
        <f>3/28</f>
        <v>0.10714285714285714</v>
      </c>
      <c r="H56" s="3">
        <f>20/28</f>
        <v>0.7142857142857143</v>
      </c>
      <c r="I56" s="3">
        <f>4/28</f>
        <v>0.14285714285714285</v>
      </c>
      <c r="J56" s="9">
        <f>180*(B56/28)</f>
        <v>983.5714285714286</v>
      </c>
      <c r="K56" s="9">
        <f t="shared" si="15"/>
        <v>65.57142857142857</v>
      </c>
      <c r="L56" s="9">
        <f t="shared" si="13"/>
        <v>87.42857142857143</v>
      </c>
      <c r="M56" s="9">
        <f t="shared" si="16"/>
        <v>16.392857142857142</v>
      </c>
      <c r="N56" s="9">
        <f t="shared" si="11"/>
        <v>1136.5714285714284</v>
      </c>
      <c r="O56" s="3">
        <f t="shared" si="12"/>
        <v>1.0399999999999998</v>
      </c>
    </row>
    <row r="57" spans="1:15" ht="12.75">
      <c r="A57" s="9">
        <f t="shared" si="14"/>
        <v>799</v>
      </c>
      <c r="B57" s="9">
        <v>141</v>
      </c>
      <c r="C57" s="2">
        <f t="shared" si="9"/>
        <v>4.973628656820787</v>
      </c>
      <c r="D57" s="2">
        <f t="shared" si="10"/>
        <v>0.3108517910512992</v>
      </c>
      <c r="E57" s="11" t="s">
        <v>954</v>
      </c>
      <c r="F57" s="3">
        <f>170/30</f>
        <v>5.666666666666667</v>
      </c>
      <c r="G57" s="3">
        <f>7/30</f>
        <v>0.23333333333333334</v>
      </c>
      <c r="H57" s="3">
        <f>15/30</f>
        <v>0.5</v>
      </c>
      <c r="I57" s="3">
        <f>5/30</f>
        <v>0.16666666666666666</v>
      </c>
      <c r="J57" s="9">
        <f>140*(B57/30)</f>
        <v>658</v>
      </c>
      <c r="K57" s="9">
        <f t="shared" si="15"/>
        <v>131.6</v>
      </c>
      <c r="L57" s="9">
        <f t="shared" si="13"/>
        <v>94</v>
      </c>
      <c r="M57" s="9">
        <f t="shared" si="16"/>
        <v>32.9</v>
      </c>
      <c r="N57" s="9">
        <f t="shared" si="11"/>
        <v>883.6</v>
      </c>
      <c r="O57" s="3">
        <f t="shared" si="12"/>
        <v>1.1058823529411765</v>
      </c>
    </row>
    <row r="58" spans="1:15" ht="12.75">
      <c r="A58" s="9">
        <f t="shared" si="14"/>
        <v>293.3333333333333</v>
      </c>
      <c r="B58" s="9">
        <v>55</v>
      </c>
      <c r="C58" s="2">
        <f t="shared" si="9"/>
        <v>1.9400679157811578</v>
      </c>
      <c r="D58" s="2">
        <f t="shared" si="10"/>
        <v>0.12125424473632236</v>
      </c>
      <c r="E58" s="11" t="s">
        <v>955</v>
      </c>
      <c r="F58" s="3">
        <f>160/30</f>
        <v>5.333333333333333</v>
      </c>
      <c r="G58" s="3">
        <f>8/30</f>
        <v>0.26666666666666666</v>
      </c>
      <c r="H58" s="3">
        <f>12/30</f>
        <v>0.4</v>
      </c>
      <c r="I58" s="3">
        <f>8/30</f>
        <v>0.26666666666666666</v>
      </c>
      <c r="J58" s="9">
        <f>B58*(110/30)</f>
        <v>201.66666666666666</v>
      </c>
      <c r="K58" s="9">
        <f t="shared" si="15"/>
        <v>58.666666666666664</v>
      </c>
      <c r="L58" s="9">
        <f t="shared" si="13"/>
        <v>58.666666666666664</v>
      </c>
      <c r="M58" s="9">
        <f t="shared" si="16"/>
        <v>14.666666666666666</v>
      </c>
      <c r="N58" s="9">
        <f t="shared" si="11"/>
        <v>319</v>
      </c>
      <c r="O58" s="3">
        <f t="shared" si="12"/>
        <v>1.0875000000000001</v>
      </c>
    </row>
    <row r="59" spans="1:15" ht="12.75">
      <c r="A59" s="9">
        <f t="shared" si="14"/>
        <v>1368</v>
      </c>
      <c r="B59" s="9">
        <v>228</v>
      </c>
      <c r="C59" s="2">
        <f t="shared" si="9"/>
        <v>8.042463359965527</v>
      </c>
      <c r="D59" s="2">
        <f t="shared" si="10"/>
        <v>0.5026539599978455</v>
      </c>
      <c r="E59" s="11" t="s">
        <v>956</v>
      </c>
      <c r="F59" s="3">
        <f>180/30</f>
        <v>6</v>
      </c>
      <c r="G59" s="3">
        <f>5/30</f>
        <v>0.16666666666666666</v>
      </c>
      <c r="H59" s="3">
        <f>14/30</f>
        <v>0.4666666666666667</v>
      </c>
      <c r="I59" s="3">
        <f>9/30</f>
        <v>0.3</v>
      </c>
      <c r="J59" s="9">
        <f>120/30*B59</f>
        <v>912</v>
      </c>
      <c r="K59" s="9">
        <f t="shared" si="15"/>
        <v>152</v>
      </c>
      <c r="L59" s="9">
        <f t="shared" si="13"/>
        <v>273.59999999999997</v>
      </c>
      <c r="M59" s="9">
        <f t="shared" si="16"/>
        <v>38</v>
      </c>
      <c r="N59" s="9">
        <f t="shared" si="11"/>
        <v>1337.6</v>
      </c>
      <c r="O59" s="3">
        <f t="shared" si="12"/>
        <v>0.9777777777777777</v>
      </c>
    </row>
    <row r="60" spans="1:15" ht="12.75">
      <c r="A60">
        <v>190</v>
      </c>
      <c r="B60" s="9">
        <v>39</v>
      </c>
      <c r="C60" s="2">
        <f t="shared" si="9"/>
        <v>1.3756845220993665</v>
      </c>
      <c r="D60" s="2">
        <f t="shared" si="10"/>
        <v>0.08598028263121041</v>
      </c>
      <c r="E60" s="11" t="s">
        <v>1012</v>
      </c>
      <c r="F60" s="3">
        <f>A60/B60</f>
        <v>4.871794871794871</v>
      </c>
      <c r="G60" s="3">
        <f>4/39</f>
        <v>0.10256410256410256</v>
      </c>
      <c r="H60" s="3">
        <f>10/39</f>
        <v>0.2564102564102564</v>
      </c>
      <c r="I60" s="3">
        <f>23/39</f>
        <v>0.5897435897435898</v>
      </c>
      <c r="J60" s="9">
        <v>90</v>
      </c>
      <c r="K60" s="9">
        <f t="shared" si="15"/>
        <v>16</v>
      </c>
      <c r="L60" s="9">
        <f t="shared" si="13"/>
        <v>92</v>
      </c>
      <c r="M60" s="9">
        <v>4</v>
      </c>
      <c r="N60" s="9">
        <f t="shared" si="11"/>
        <v>198</v>
      </c>
      <c r="O60" s="3">
        <f t="shared" si="12"/>
        <v>1.0421052631578946</v>
      </c>
    </row>
    <row r="61" spans="1:15" ht="12.75">
      <c r="A61">
        <f>2*90</f>
        <v>180</v>
      </c>
      <c r="B61" s="9">
        <f>22*2</f>
        <v>44</v>
      </c>
      <c r="C61" s="2">
        <f t="shared" si="9"/>
        <v>1.5520543326249263</v>
      </c>
      <c r="D61" s="2">
        <f t="shared" si="10"/>
        <v>0.0970033957890579</v>
      </c>
      <c r="E61" s="11" t="s">
        <v>1550</v>
      </c>
      <c r="F61" s="3">
        <f>A61/B61</f>
        <v>4.090909090909091</v>
      </c>
      <c r="G61" s="3">
        <f>1/22</f>
        <v>0.045454545454545456</v>
      </c>
      <c r="H61" s="3">
        <f>2/22</f>
        <v>0.09090909090909091</v>
      </c>
      <c r="I61" s="3">
        <f>18/22</f>
        <v>0.8181818181818182</v>
      </c>
      <c r="J61" s="9">
        <f>20*2</f>
        <v>40</v>
      </c>
      <c r="K61" s="9">
        <f t="shared" si="15"/>
        <v>8</v>
      </c>
      <c r="L61" s="9">
        <f t="shared" si="13"/>
        <v>144</v>
      </c>
      <c r="M61" s="9">
        <f>2*1</f>
        <v>2</v>
      </c>
      <c r="N61" s="9">
        <f t="shared" si="11"/>
        <v>192</v>
      </c>
      <c r="O61" s="3">
        <f t="shared" si="12"/>
        <v>1.0666666666666667</v>
      </c>
    </row>
    <row r="62" spans="1:15" ht="12.75">
      <c r="A62">
        <f>2.5*230</f>
        <v>575</v>
      </c>
      <c r="B62" s="9">
        <v>100</v>
      </c>
      <c r="C62" s="2">
        <f t="shared" si="9"/>
        <v>3.527396210511196</v>
      </c>
      <c r="D62" s="2">
        <f t="shared" si="10"/>
        <v>0.22046226315694975</v>
      </c>
      <c r="E62" s="11" t="s">
        <v>1538</v>
      </c>
      <c r="F62" s="3">
        <f>A62/B62</f>
        <v>5.75</v>
      </c>
      <c r="G62" s="3">
        <f>(2*2.5)/100</f>
        <v>0.05</v>
      </c>
      <c r="H62" s="3">
        <f>(14*2.4)/100</f>
        <v>0.336</v>
      </c>
      <c r="I62" s="3">
        <f>(25*2.5)/100</f>
        <v>0.625</v>
      </c>
      <c r="J62" s="9">
        <v>300</v>
      </c>
      <c r="K62" s="9">
        <f t="shared" si="15"/>
        <v>20</v>
      </c>
      <c r="L62" s="9">
        <f t="shared" si="13"/>
        <v>250</v>
      </c>
      <c r="M62" s="9">
        <v>5</v>
      </c>
      <c r="N62" s="9">
        <f t="shared" si="11"/>
        <v>570</v>
      </c>
      <c r="O62" s="3">
        <f t="shared" si="12"/>
        <v>0.991304347826087</v>
      </c>
    </row>
    <row r="63" spans="1:15" ht="12.75">
      <c r="A63" s="9">
        <f>SUM(A47:A62)</f>
        <v>10052.446436251921</v>
      </c>
      <c r="C63" s="9">
        <f>SUM(C47:C62)</f>
        <v>77.03833323756452</v>
      </c>
      <c r="D63" s="2">
        <f>C63/16</f>
        <v>4.814895827347782</v>
      </c>
      <c r="E63" s="11" t="s">
        <v>1507</v>
      </c>
      <c r="F63" s="3">
        <f>A63/SUM(B47:B62)</f>
        <v>4.602768514767363</v>
      </c>
      <c r="G63" s="3"/>
      <c r="H63" s="3"/>
      <c r="I63" s="3"/>
      <c r="J63" s="9">
        <f>SUM(J47:J62)</f>
        <v>5000.561827956989</v>
      </c>
      <c r="K63" s="9">
        <f>SUM(K47:K62)</f>
        <v>1170.3508448540706</v>
      </c>
      <c r="L63" s="9">
        <f>SUM(L47:L62)</f>
        <v>4177.590537634409</v>
      </c>
      <c r="M63" s="9">
        <f>SUM(M47:M62)</f>
        <v>292.58771121351765</v>
      </c>
      <c r="N63" s="9">
        <f t="shared" si="11"/>
        <v>10348.50321044547</v>
      </c>
      <c r="O63" s="3">
        <f t="shared" si="12"/>
        <v>1.0294512162856084</v>
      </c>
    </row>
    <row r="64" spans="3:15" ht="12.75">
      <c r="C64" s="2"/>
      <c r="D64" s="2"/>
      <c r="I64" t="s">
        <v>1547</v>
      </c>
      <c r="J64" s="3">
        <f>J63/N63</f>
        <v>0.48321595174358856</v>
      </c>
      <c r="K64" s="3">
        <f>K63/N63</f>
        <v>0.11309373162997655</v>
      </c>
      <c r="L64" s="3">
        <f>L63/N63</f>
        <v>0.40369031662643484</v>
      </c>
      <c r="M64" s="9">
        <f>M63/4</f>
        <v>73.14692780337941</v>
      </c>
      <c r="N64" t="s">
        <v>1569</v>
      </c>
      <c r="O64" s="3"/>
    </row>
    <row r="65" spans="2:19" ht="12.75">
      <c r="B65" s="9">
        <f>(399+1142+553)-(B62+B61+B60+B59+B58+B57+B56+B55+B54+B53+B52+B48+B47)+7</f>
        <v>77</v>
      </c>
      <c r="C65" s="2">
        <f>B65/28.349523</f>
        <v>2.716095082093621</v>
      </c>
      <c r="D65" s="2">
        <f>C65/16</f>
        <v>0.1697559426308513</v>
      </c>
      <c r="E65" s="11" t="s">
        <v>314</v>
      </c>
      <c r="M65">
        <v>4</v>
      </c>
      <c r="N65" t="s">
        <v>534</v>
      </c>
      <c r="P65">
        <f>A63/M65</f>
        <v>2513.1116090629803</v>
      </c>
      <c r="Q65" t="s">
        <v>2002</v>
      </c>
      <c r="S65" t="s">
        <v>2003</v>
      </c>
    </row>
    <row r="66" spans="2:16" ht="12.75">
      <c r="B66" s="9"/>
      <c r="C66" s="2"/>
      <c r="D66" s="2"/>
      <c r="E66" s="11"/>
      <c r="K66" t="s">
        <v>1548</v>
      </c>
      <c r="P66" s="27" t="s">
        <v>756</v>
      </c>
    </row>
    <row r="67" spans="2:5" ht="12.75">
      <c r="B67" s="9"/>
      <c r="C67" s="18" t="s">
        <v>40</v>
      </c>
      <c r="D67" s="18" t="s">
        <v>1549</v>
      </c>
      <c r="E67" s="2"/>
    </row>
    <row r="68" spans="2:5" ht="12.75">
      <c r="B68" s="9"/>
      <c r="C68">
        <v>1</v>
      </c>
      <c r="D68" s="9">
        <f>A47+A49+A50+A51+A60+A61+(A52/4)</f>
        <v>1638.0679838709677</v>
      </c>
      <c r="E68" s="2" t="s">
        <v>1545</v>
      </c>
    </row>
    <row r="69" spans="2:5" ht="12.75">
      <c r="B69" s="9"/>
      <c r="C69">
        <v>2</v>
      </c>
      <c r="D69">
        <v>3000</v>
      </c>
      <c r="E69" s="2"/>
    </row>
    <row r="70" spans="2:5" ht="12.75">
      <c r="B70" s="9"/>
      <c r="C70">
        <v>3</v>
      </c>
      <c r="D70">
        <v>3000</v>
      </c>
      <c r="E70" s="2"/>
    </row>
    <row r="71" spans="2:5" ht="12.75">
      <c r="B71" s="9"/>
      <c r="C71">
        <v>4</v>
      </c>
      <c r="D71">
        <v>2000</v>
      </c>
      <c r="E71" s="2"/>
    </row>
    <row r="72" spans="2:5" ht="12.75">
      <c r="B72" s="9"/>
      <c r="C72" s="18" t="s">
        <v>1598</v>
      </c>
      <c r="D72" s="9">
        <f>D68+D69+D70+D71</f>
        <v>9638.067983870968</v>
      </c>
      <c r="E72" s="2"/>
    </row>
    <row r="73" spans="2:4" ht="12.75">
      <c r="B73" s="9"/>
      <c r="C73" s="2"/>
      <c r="D73" s="2"/>
    </row>
    <row r="74" spans="2:5" ht="12.75">
      <c r="B74" s="9">
        <v>17</v>
      </c>
      <c r="C74" s="2">
        <f aca="true" t="shared" si="17" ref="C74:C80">B74/28.349523</f>
        <v>0.5996573557869034</v>
      </c>
      <c r="D74" s="2">
        <f aca="true" t="shared" si="18" ref="D74:D80">C74/16</f>
        <v>0.03747858473668146</v>
      </c>
      <c r="E74" s="12" t="s">
        <v>1473</v>
      </c>
    </row>
    <row r="75" spans="2:5" ht="12.75">
      <c r="B75" s="9">
        <v>4</v>
      </c>
      <c r="C75" s="2">
        <f t="shared" si="17"/>
        <v>0.14109584842044784</v>
      </c>
      <c r="D75" s="2">
        <f t="shared" si="18"/>
        <v>0.00881849052627799</v>
      </c>
      <c r="E75" s="11" t="s">
        <v>1064</v>
      </c>
    </row>
    <row r="76" spans="2:5" ht="12.75">
      <c r="B76" s="9">
        <v>33</v>
      </c>
      <c r="C76" s="2">
        <f t="shared" si="17"/>
        <v>1.1640407494686946</v>
      </c>
      <c r="D76" s="2">
        <f t="shared" si="18"/>
        <v>0.07275254684179341</v>
      </c>
      <c r="E76" s="11" t="s">
        <v>1479</v>
      </c>
    </row>
    <row r="77" spans="2:5" ht="12.75">
      <c r="B77" s="9">
        <v>66</v>
      </c>
      <c r="C77" s="2">
        <f t="shared" si="17"/>
        <v>2.3280814989373892</v>
      </c>
      <c r="D77" s="2">
        <f t="shared" si="18"/>
        <v>0.14550509368358683</v>
      </c>
      <c r="E77" s="11" t="s">
        <v>944</v>
      </c>
    </row>
    <row r="78" spans="2:5" ht="12.75">
      <c r="B78" s="9">
        <v>7</v>
      </c>
      <c r="C78" s="2">
        <f t="shared" si="17"/>
        <v>0.24691773473578374</v>
      </c>
      <c r="D78" s="2">
        <f t="shared" si="18"/>
        <v>0.015432358420986484</v>
      </c>
      <c r="E78" s="11" t="s">
        <v>1506</v>
      </c>
    </row>
    <row r="79" spans="2:5" ht="12.75">
      <c r="B79" s="9">
        <v>4</v>
      </c>
      <c r="C79" s="2">
        <f t="shared" si="17"/>
        <v>0.14109584842044784</v>
      </c>
      <c r="D79" s="2">
        <f t="shared" si="18"/>
        <v>0.00881849052627799</v>
      </c>
      <c r="E79" s="11" t="s">
        <v>1499</v>
      </c>
    </row>
    <row r="80" spans="2:5" ht="12.75">
      <c r="B80" s="9">
        <v>33</v>
      </c>
      <c r="C80" s="2">
        <f t="shared" si="17"/>
        <v>1.1640407494686946</v>
      </c>
      <c r="D80" s="2">
        <f t="shared" si="18"/>
        <v>0.07275254684179341</v>
      </c>
      <c r="E80" s="11" t="s">
        <v>1429</v>
      </c>
    </row>
    <row r="81" spans="2:5" ht="12.75">
      <c r="B81" s="9">
        <v>16</v>
      </c>
      <c r="C81" s="2">
        <f aca="true" t="shared" si="19" ref="C81:C92">B81/28.349523</f>
        <v>0.5643833936817914</v>
      </c>
      <c r="D81" s="2">
        <f aca="true" t="shared" si="20" ref="D81:D92">C81/16</f>
        <v>0.03527396210511196</v>
      </c>
      <c r="E81" s="11" t="s">
        <v>41</v>
      </c>
    </row>
    <row r="82" spans="2:5" ht="12.75">
      <c r="B82" s="9">
        <f>2+9</f>
        <v>11</v>
      </c>
      <c r="C82" s="2">
        <f t="shared" si="19"/>
        <v>0.3880135831562316</v>
      </c>
      <c r="D82" s="2">
        <f t="shared" si="20"/>
        <v>0.024250848947264474</v>
      </c>
      <c r="E82" s="11" t="s">
        <v>1567</v>
      </c>
    </row>
    <row r="83" spans="2:5" ht="12.75">
      <c r="B83" s="9">
        <v>10</v>
      </c>
      <c r="C83" s="2">
        <f t="shared" si="19"/>
        <v>0.3527396210511196</v>
      </c>
      <c r="D83" s="2">
        <f t="shared" si="20"/>
        <v>0.022046226315694976</v>
      </c>
      <c r="E83" s="11" t="s">
        <v>1431</v>
      </c>
    </row>
    <row r="84" spans="2:5" ht="12.75">
      <c r="B84" s="16">
        <v>74</v>
      </c>
      <c r="C84" s="2">
        <f t="shared" si="19"/>
        <v>2.610273195778285</v>
      </c>
      <c r="D84" s="2">
        <f t="shared" si="20"/>
        <v>0.1631420747361428</v>
      </c>
      <c r="E84" s="13" t="s">
        <v>1519</v>
      </c>
    </row>
    <row r="85" spans="3:4" ht="12.75">
      <c r="C85" s="2"/>
      <c r="D85" s="2"/>
    </row>
    <row r="86" spans="2:5" ht="12.75">
      <c r="B86" s="16">
        <v>32</v>
      </c>
      <c r="C86" s="2">
        <f t="shared" si="19"/>
        <v>1.1287667873635827</v>
      </c>
      <c r="D86" s="2">
        <f t="shared" si="20"/>
        <v>0.07054792421022392</v>
      </c>
      <c r="E86" s="13" t="s">
        <v>1709</v>
      </c>
    </row>
    <row r="87" spans="2:5" ht="12.75">
      <c r="B87" s="16">
        <v>53</v>
      </c>
      <c r="C87" s="2">
        <f t="shared" si="19"/>
        <v>1.869519991570934</v>
      </c>
      <c r="D87" s="2">
        <f t="shared" si="20"/>
        <v>0.11684499947318337</v>
      </c>
      <c r="E87" s="11" t="s">
        <v>1068</v>
      </c>
    </row>
    <row r="88" spans="2:4" ht="12.75">
      <c r="B88" s="9"/>
      <c r="C88" s="2"/>
      <c r="D88" s="2"/>
    </row>
    <row r="89" spans="2:5" ht="12.75">
      <c r="B89" s="9">
        <f>B119</f>
        <v>726.9811460000001</v>
      </c>
      <c r="C89" s="2">
        <f>B89/28.349523</f>
        <v>25.64350539513487</v>
      </c>
      <c r="D89" s="2">
        <f>C89/16</f>
        <v>1.6027190871959294</v>
      </c>
      <c r="E89" s="12" t="s">
        <v>1562</v>
      </c>
    </row>
    <row r="91" spans="2:8" ht="12.75">
      <c r="B91" s="9"/>
      <c r="C91" s="2"/>
      <c r="D91" s="2"/>
      <c r="E91" s="4"/>
      <c r="H91" s="3"/>
    </row>
    <row r="92" spans="2:8" ht="12.75">
      <c r="B92" s="9">
        <f>SUM(B3:B91)</f>
        <v>8636.814479333334</v>
      </c>
      <c r="C92" s="2">
        <f t="shared" si="19"/>
        <v>304.6546666528863</v>
      </c>
      <c r="D92" s="2">
        <f t="shared" si="20"/>
        <v>19.040916665805394</v>
      </c>
      <c r="E92" s="11" t="s">
        <v>338</v>
      </c>
      <c r="G92">
        <f>COUNT(B3:B91)</f>
        <v>70</v>
      </c>
      <c r="H92" t="s">
        <v>38</v>
      </c>
    </row>
    <row r="93" spans="2:4" ht="12.75">
      <c r="B93" s="9"/>
      <c r="C93" s="2"/>
      <c r="D93" s="2"/>
    </row>
    <row r="94" spans="2:5" ht="12.75">
      <c r="B94" s="9"/>
      <c r="C94" s="2"/>
      <c r="D94" s="2"/>
      <c r="E94" s="12" t="s">
        <v>1025</v>
      </c>
    </row>
    <row r="95" spans="2:5" ht="12.75">
      <c r="B95" s="9">
        <v>50</v>
      </c>
      <c r="C95" s="2">
        <f aca="true" t="shared" si="21" ref="C95:C105">B95/28.349523</f>
        <v>1.763698105255598</v>
      </c>
      <c r="D95" s="2">
        <f aca="true" t="shared" si="22" ref="D95:D105">C95/16</f>
        <v>0.11023113157847488</v>
      </c>
      <c r="E95" s="12" t="s">
        <v>318</v>
      </c>
    </row>
    <row r="96" spans="2:5" ht="12.75">
      <c r="B96" s="9">
        <v>324</v>
      </c>
      <c r="C96" s="2">
        <f t="shared" si="21"/>
        <v>11.428763722056276</v>
      </c>
      <c r="D96" s="2">
        <f t="shared" si="22"/>
        <v>0.7142977326285173</v>
      </c>
      <c r="E96" s="12" t="s">
        <v>1170</v>
      </c>
    </row>
    <row r="97" spans="2:5" ht="12.75">
      <c r="B97" s="9">
        <f>88/3</f>
        <v>29.333333333333332</v>
      </c>
      <c r="C97" s="2">
        <f t="shared" si="21"/>
        <v>1.0347028884166174</v>
      </c>
      <c r="D97" s="2">
        <f t="shared" si="22"/>
        <v>0.06466893052603859</v>
      </c>
      <c r="E97" s="12" t="s">
        <v>321</v>
      </c>
    </row>
    <row r="98" spans="2:5" ht="12.75">
      <c r="B98" s="9">
        <v>40</v>
      </c>
      <c r="C98" s="2">
        <f t="shared" si="21"/>
        <v>1.4109584842044784</v>
      </c>
      <c r="D98" s="2">
        <f t="shared" si="22"/>
        <v>0.0881849052627799</v>
      </c>
      <c r="E98" s="12" t="s">
        <v>1172</v>
      </c>
    </row>
    <row r="99" spans="2:5" ht="12.75">
      <c r="B99" s="9">
        <v>56</v>
      </c>
      <c r="C99" s="2">
        <f t="shared" si="21"/>
        <v>1.97534187788627</v>
      </c>
      <c r="D99" s="2">
        <f t="shared" si="22"/>
        <v>0.12345886736789187</v>
      </c>
      <c r="E99" s="12" t="s">
        <v>319</v>
      </c>
    </row>
    <row r="100" spans="2:9" ht="12.75">
      <c r="B100" s="9">
        <v>1468</v>
      </c>
      <c r="C100" s="2">
        <f t="shared" si="21"/>
        <v>51.782176370304356</v>
      </c>
      <c r="D100" s="2">
        <f t="shared" si="22"/>
        <v>3.2363860231440222</v>
      </c>
      <c r="E100" t="s">
        <v>315</v>
      </c>
      <c r="G100" s="9"/>
      <c r="H100" s="3"/>
      <c r="I100" s="3"/>
    </row>
    <row r="101" spans="2:5" ht="12.75">
      <c r="B101" s="9">
        <v>177</v>
      </c>
      <c r="C101" s="3">
        <f>B101/28.349523</f>
        <v>6.243491292604817</v>
      </c>
      <c r="D101" s="3">
        <f>C101/16</f>
        <v>0.3902182057878011</v>
      </c>
      <c r="E101" t="s">
        <v>374</v>
      </c>
    </row>
    <row r="102" spans="2:5" ht="12.75">
      <c r="B102" s="9">
        <v>40</v>
      </c>
      <c r="C102" s="2">
        <f t="shared" si="21"/>
        <v>1.4109584842044784</v>
      </c>
      <c r="D102" s="2">
        <f t="shared" si="22"/>
        <v>0.0881849052627799</v>
      </c>
      <c r="E102" s="12" t="s">
        <v>322</v>
      </c>
    </row>
    <row r="103" spans="2:5" ht="12.75">
      <c r="B103" s="9">
        <v>25</v>
      </c>
      <c r="C103" s="2">
        <f>B103/28.349523</f>
        <v>0.881849052627799</v>
      </c>
      <c r="D103" s="2">
        <f t="shared" si="22"/>
        <v>0.05511556578923744</v>
      </c>
      <c r="E103" t="s">
        <v>1508</v>
      </c>
    </row>
    <row r="104" spans="2:5" ht="12.75">
      <c r="B104" s="16">
        <v>53</v>
      </c>
      <c r="C104" s="2">
        <f t="shared" si="21"/>
        <v>1.869519991570934</v>
      </c>
      <c r="D104" s="2">
        <f t="shared" si="22"/>
        <v>0.11684499947318337</v>
      </c>
      <c r="E104" s="11" t="s">
        <v>1069</v>
      </c>
    </row>
    <row r="105" spans="2:5" ht="12.75">
      <c r="B105" s="9">
        <f>SUM(B95:B104)</f>
        <v>2262.333333333333</v>
      </c>
      <c r="C105" s="2">
        <f t="shared" si="21"/>
        <v>79.80146026913161</v>
      </c>
      <c r="D105" s="2">
        <f t="shared" si="22"/>
        <v>4.987591266820726</v>
      </c>
      <c r="E105" s="11" t="s">
        <v>1509</v>
      </c>
    </row>
    <row r="106" spans="2:5" ht="12.75">
      <c r="B106" s="9">
        <f>B92+B105</f>
        <v>10899.147812666666</v>
      </c>
      <c r="C106" s="2">
        <f>B106/28.349523</f>
        <v>384.4561269220179</v>
      </c>
      <c r="D106" s="2">
        <f>C106/16</f>
        <v>24.02850793262612</v>
      </c>
      <c r="E106" s="11" t="s">
        <v>1511</v>
      </c>
    </row>
    <row r="107" spans="2:5" ht="12.75">
      <c r="B107" s="9">
        <f>28.349523*C107</f>
        <v>71667.594144</v>
      </c>
      <c r="C107" s="9">
        <f>D107*16</f>
        <v>2528</v>
      </c>
      <c r="D107" s="2">
        <v>158</v>
      </c>
      <c r="E107" s="11" t="s">
        <v>1510</v>
      </c>
    </row>
    <row r="108" spans="2:5" ht="12.75">
      <c r="B108" s="9">
        <f>B107+B106</f>
        <v>82566.74195666666</v>
      </c>
      <c r="C108" s="9">
        <f>B108/28.349523</f>
        <v>2912.4561269220176</v>
      </c>
      <c r="D108" s="2">
        <f>C108/16</f>
        <v>182.0285079326261</v>
      </c>
      <c r="E108" s="11" t="s">
        <v>337</v>
      </c>
    </row>
    <row r="109" spans="2:5" ht="12.75">
      <c r="B109" s="16"/>
      <c r="C109" s="2"/>
      <c r="D109" s="2"/>
      <c r="E109" s="11"/>
    </row>
    <row r="110" spans="2:5" ht="12.75">
      <c r="B110" s="16"/>
      <c r="C110" s="2"/>
      <c r="D110" s="2"/>
      <c r="E110" s="11" t="s">
        <v>1555</v>
      </c>
    </row>
    <row r="111" spans="2:5" ht="12.75">
      <c r="B111" s="16">
        <f>C111*28.348523</f>
        <v>1162.2894430000001</v>
      </c>
      <c r="C111" s="3">
        <f>(2*16)+9</f>
        <v>41</v>
      </c>
      <c r="D111" s="3">
        <f>C111/16</f>
        <v>2.5625</v>
      </c>
      <c r="E111" s="4" t="s">
        <v>690</v>
      </c>
    </row>
    <row r="112" spans="2:5" ht="12.75">
      <c r="B112" s="16">
        <f>C112*28.348523</f>
        <v>1162.2894430000001</v>
      </c>
      <c r="C112" s="3">
        <f>(2*16)+9</f>
        <v>41</v>
      </c>
      <c r="D112" s="3">
        <f>C112/16</f>
        <v>2.5625</v>
      </c>
      <c r="E112" s="4" t="s">
        <v>690</v>
      </c>
    </row>
    <row r="113" spans="2:5" ht="12.75">
      <c r="B113" s="9">
        <v>408</v>
      </c>
      <c r="C113" s="2">
        <f>B113/28.349523</f>
        <v>14.39177653888568</v>
      </c>
      <c r="D113" s="2">
        <f>C113/16</f>
        <v>0.899486033680355</v>
      </c>
      <c r="E113" s="11" t="s">
        <v>1011</v>
      </c>
    </row>
    <row r="114" spans="2:5" ht="12.75">
      <c r="B114" s="9">
        <v>4</v>
      </c>
      <c r="C114" s="2">
        <f>B114/28.349523</f>
        <v>0.14109584842044784</v>
      </c>
      <c r="D114" s="2">
        <f>C114/16</f>
        <v>0.00881849052627799</v>
      </c>
      <c r="E114" s="12" t="s">
        <v>1558</v>
      </c>
    </row>
    <row r="115" spans="2:5" ht="12.75">
      <c r="B115" s="16">
        <f>C115*28.348523</f>
        <v>340.182276</v>
      </c>
      <c r="C115" s="2">
        <v>12</v>
      </c>
      <c r="D115" s="2"/>
      <c r="E115" s="12" t="s">
        <v>1556</v>
      </c>
    </row>
    <row r="116" spans="2:5" ht="12.75">
      <c r="B116" s="16">
        <f>C116*28.348523</f>
        <v>340.182276</v>
      </c>
      <c r="C116" s="2">
        <v>12</v>
      </c>
      <c r="D116" s="2"/>
      <c r="E116" s="12" t="s">
        <v>1557</v>
      </c>
    </row>
    <row r="117" spans="2:5" ht="12.75">
      <c r="B117" s="9">
        <f>SUM(B111:B116)</f>
        <v>3416.9434380000002</v>
      </c>
      <c r="C117" s="2">
        <f>B117/28.349523</f>
        <v>120.52913334732298</v>
      </c>
      <c r="D117" s="2">
        <f>C117/16</f>
        <v>7.533070834207686</v>
      </c>
      <c r="E117" s="12" t="s">
        <v>1559</v>
      </c>
    </row>
    <row r="118" spans="2:5" ht="12.75">
      <c r="B118">
        <f>B117/3</f>
        <v>1138.981146</v>
      </c>
      <c r="C118" s="2">
        <f>B118/28.349523</f>
        <v>40.176377782440994</v>
      </c>
      <c r="D118" s="2">
        <f>C118/16</f>
        <v>2.511023611402562</v>
      </c>
      <c r="E118" s="12" t="s">
        <v>1560</v>
      </c>
    </row>
    <row r="119" spans="2:5" ht="12.75">
      <c r="B119" s="9">
        <f>B118-B113-B114</f>
        <v>726.9811460000001</v>
      </c>
      <c r="C119" s="2">
        <f>B119/28.349523</f>
        <v>25.64350539513487</v>
      </c>
      <c r="D119" s="2">
        <f>C119/16</f>
        <v>1.6027190871959294</v>
      </c>
      <c r="E119" s="12" t="s">
        <v>1561</v>
      </c>
    </row>
    <row r="123" spans="2:5" ht="12.75">
      <c r="B123" s="16"/>
      <c r="C123" s="2"/>
      <c r="D123" s="2"/>
      <c r="E123" s="11"/>
    </row>
    <row r="124" spans="2:5" ht="12.75">
      <c r="B124" s="9"/>
      <c r="C124" s="2"/>
      <c r="D124" s="2"/>
      <c r="E124" s="15" t="s">
        <v>1021</v>
      </c>
    </row>
    <row r="125" spans="2:5" ht="12.75">
      <c r="B125" s="9">
        <v>41</v>
      </c>
      <c r="C125" s="2">
        <f>B125/28.349523</f>
        <v>1.4462324463095904</v>
      </c>
      <c r="D125" s="2">
        <f>C125/16</f>
        <v>0.0903895278943494</v>
      </c>
      <c r="E125" s="11" t="s">
        <v>1009</v>
      </c>
    </row>
    <row r="126" spans="2:5" ht="12.75">
      <c r="B126" s="9">
        <v>280</v>
      </c>
      <c r="C126" s="2">
        <f aca="true" t="shared" si="23" ref="C126:C131">B126/28.349523</f>
        <v>9.87670938943135</v>
      </c>
      <c r="D126" s="2">
        <f aca="true" t="shared" si="24" ref="D126:D131">C126/16</f>
        <v>0.6172943368394593</v>
      </c>
      <c r="E126" s="12" t="s">
        <v>1475</v>
      </c>
    </row>
    <row r="127" spans="2:5" ht="12.75">
      <c r="B127" s="9">
        <v>246</v>
      </c>
      <c r="C127" s="2">
        <f t="shared" si="23"/>
        <v>8.677394677857542</v>
      </c>
      <c r="D127" s="2">
        <f t="shared" si="24"/>
        <v>0.5423371673660964</v>
      </c>
      <c r="E127" s="4" t="s">
        <v>1985</v>
      </c>
    </row>
    <row r="128" spans="2:5" ht="12.75">
      <c r="B128" s="9">
        <v>18</v>
      </c>
      <c r="C128" s="2">
        <f t="shared" si="23"/>
        <v>0.6349313178920153</v>
      </c>
      <c r="D128" s="2">
        <f t="shared" si="24"/>
        <v>0.039683207368250956</v>
      </c>
      <c r="E128" s="12" t="s">
        <v>2073</v>
      </c>
    </row>
    <row r="129" spans="2:5" ht="12.75">
      <c r="B129" s="9">
        <v>35</v>
      </c>
      <c r="C129" s="2">
        <f t="shared" si="23"/>
        <v>1.2345886736789187</v>
      </c>
      <c r="D129" s="2">
        <f t="shared" si="24"/>
        <v>0.07716179210493242</v>
      </c>
      <c r="E129" t="s">
        <v>1980</v>
      </c>
    </row>
    <row r="130" spans="2:5" ht="12.75">
      <c r="B130" s="16">
        <v>76</v>
      </c>
      <c r="C130" s="2">
        <f t="shared" si="23"/>
        <v>2.680821119988509</v>
      </c>
      <c r="D130" s="2">
        <f t="shared" si="24"/>
        <v>0.1675513199992818</v>
      </c>
      <c r="E130" s="13" t="s">
        <v>708</v>
      </c>
    </row>
    <row r="131" spans="2:5" ht="12.75">
      <c r="B131" s="9">
        <v>57</v>
      </c>
      <c r="C131" s="2">
        <f t="shared" si="23"/>
        <v>2.010615839991382</v>
      </c>
      <c r="D131" s="2">
        <f t="shared" si="24"/>
        <v>0.12566348999946136</v>
      </c>
      <c r="E131" s="12" t="s">
        <v>1955</v>
      </c>
    </row>
    <row r="132" spans="2:8" ht="12.75">
      <c r="B132" s="9">
        <v>40</v>
      </c>
      <c r="C132" s="2">
        <f>B132/28.349523</f>
        <v>1.4109584842044784</v>
      </c>
      <c r="D132" s="2">
        <f>C132/16</f>
        <v>0.0881849052627799</v>
      </c>
      <c r="E132" s="4" t="s">
        <v>83</v>
      </c>
      <c r="H132" s="3"/>
    </row>
    <row r="133" spans="2:5" ht="12.75">
      <c r="B133" s="9">
        <v>163</v>
      </c>
      <c r="C133" s="2">
        <f>B133/28.349523</f>
        <v>5.749655823133249</v>
      </c>
      <c r="D133" s="2">
        <f>C133/16</f>
        <v>0.3593534889458281</v>
      </c>
      <c r="E133" s="4" t="s">
        <v>1711</v>
      </c>
    </row>
    <row r="134" spans="2:5" ht="12.75">
      <c r="B134" s="9">
        <v>753</v>
      </c>
      <c r="C134" s="2">
        <f>B134/28.349523</f>
        <v>26.561293465149305</v>
      </c>
      <c r="D134" s="2">
        <f>C134/16</f>
        <v>1.6600808415718316</v>
      </c>
      <c r="E134" s="12" t="s">
        <v>3</v>
      </c>
    </row>
    <row r="135" spans="2:4" ht="12.75">
      <c r="B135" s="9"/>
      <c r="C135" s="2"/>
      <c r="D135" s="2"/>
    </row>
    <row r="136" spans="2:4" ht="12.75">
      <c r="B136" s="9"/>
      <c r="C136" s="2"/>
      <c r="D136" s="2"/>
    </row>
    <row r="137" spans="2:5" ht="12.75">
      <c r="B137" s="9">
        <v>207</v>
      </c>
      <c r="C137" s="2">
        <f aca="true" t="shared" si="25" ref="C137:C143">B137/28.349523</f>
        <v>7.301710155758176</v>
      </c>
      <c r="D137" s="2">
        <f aca="true" t="shared" si="26" ref="D137:D143">C137/16</f>
        <v>0.456356884734886</v>
      </c>
      <c r="E137" s="12" t="s">
        <v>1894</v>
      </c>
    </row>
    <row r="138" spans="2:5" ht="12.75">
      <c r="B138" s="9">
        <v>125</v>
      </c>
      <c r="C138" s="2">
        <f t="shared" si="25"/>
        <v>4.409245263138995</v>
      </c>
      <c r="D138" s="2">
        <f t="shared" si="26"/>
        <v>0.2755778289461872</v>
      </c>
      <c r="E138" s="12" t="s">
        <v>1171</v>
      </c>
    </row>
    <row r="139" spans="2:5" ht="12.75">
      <c r="B139" s="9">
        <f>90+21+29</f>
        <v>140</v>
      </c>
      <c r="C139" s="2">
        <f>B139/28.349523</f>
        <v>4.938354694715675</v>
      </c>
      <c r="D139" s="2">
        <f>C139/16</f>
        <v>0.30864716841972967</v>
      </c>
      <c r="E139" s="12" t="s">
        <v>1707</v>
      </c>
    </row>
    <row r="140" spans="3:4" ht="12.75">
      <c r="C140" s="2"/>
      <c r="D140" s="2"/>
    </row>
    <row r="141" spans="2:4" ht="12.75">
      <c r="B141" s="9"/>
      <c r="C141" s="2"/>
      <c r="D141" s="2"/>
    </row>
    <row r="142" spans="2:5" ht="12.75">
      <c r="B142" s="9">
        <v>7</v>
      </c>
      <c r="C142" s="2">
        <f t="shared" si="25"/>
        <v>0.24691773473578374</v>
      </c>
      <c r="D142" s="2">
        <f t="shared" si="26"/>
        <v>0.015432358420986484</v>
      </c>
      <c r="E142" s="11" t="s">
        <v>70</v>
      </c>
    </row>
    <row r="143" spans="2:5" ht="12.75">
      <c r="B143" s="9">
        <v>13</v>
      </c>
      <c r="C143" s="2">
        <f t="shared" si="25"/>
        <v>0.4585615073664555</v>
      </c>
      <c r="D143" s="2">
        <f t="shared" si="26"/>
        <v>0.02866009421040347</v>
      </c>
      <c r="E143" s="11" t="s">
        <v>1685</v>
      </c>
    </row>
    <row r="144" spans="2:5" ht="12.75">
      <c r="B144" s="9"/>
      <c r="C144" s="2"/>
      <c r="D144" s="2"/>
      <c r="E144" s="11" t="s">
        <v>1066</v>
      </c>
    </row>
    <row r="145" spans="2:4" ht="12.75">
      <c r="B145" s="9"/>
      <c r="C145" s="2"/>
      <c r="D145" s="2"/>
    </row>
    <row r="146" spans="2:5" ht="12.75">
      <c r="B146" s="9"/>
      <c r="C146" s="2"/>
      <c r="D146" s="2"/>
      <c r="E146" s="12" t="s">
        <v>1686</v>
      </c>
    </row>
    <row r="147" spans="2:5" ht="12.75">
      <c r="B147" s="9"/>
      <c r="C147" s="2"/>
      <c r="D147" s="2"/>
      <c r="E147" s="12" t="s">
        <v>1564</v>
      </c>
    </row>
    <row r="148" spans="2:5" ht="12.75">
      <c r="B148" s="9"/>
      <c r="C148" s="2"/>
      <c r="D148" s="2"/>
      <c r="E148" s="12" t="s">
        <v>1695</v>
      </c>
    </row>
    <row r="149" spans="2:5" ht="12.75">
      <c r="B149" s="9"/>
      <c r="C149" s="2"/>
      <c r="D149" s="2"/>
      <c r="E149" s="12" t="s">
        <v>1696</v>
      </c>
    </row>
    <row r="150" spans="2:5" ht="12.75">
      <c r="B150" s="9"/>
      <c r="C150" s="2"/>
      <c r="D150" s="2"/>
      <c r="E150" s="12" t="s">
        <v>1697</v>
      </c>
    </row>
    <row r="151" spans="2:5" ht="12.75">
      <c r="B151" s="9"/>
      <c r="C151" s="2"/>
      <c r="D151" s="2"/>
      <c r="E151" s="12" t="s">
        <v>959</v>
      </c>
    </row>
    <row r="152" spans="2:5" ht="12.75">
      <c r="B152" s="9"/>
      <c r="C152" s="2"/>
      <c r="D152" s="2"/>
      <c r="E152" s="12" t="s">
        <v>1996</v>
      </c>
    </row>
    <row r="153" spans="2:5" ht="12.75">
      <c r="B153" s="9"/>
      <c r="C153" s="2"/>
      <c r="D153" s="2"/>
      <c r="E153" s="12" t="s">
        <v>1472</v>
      </c>
    </row>
    <row r="154" spans="2:5" ht="12.75">
      <c r="B154" s="9"/>
      <c r="C154" s="2"/>
      <c r="D154" s="2"/>
      <c r="E154" s="12" t="s">
        <v>1998</v>
      </c>
    </row>
    <row r="155" spans="2:5" ht="12.75">
      <c r="B155" s="9"/>
      <c r="C155" s="2"/>
      <c r="D155" s="2"/>
      <c r="E155" s="12" t="s">
        <v>1999</v>
      </c>
    </row>
    <row r="156" spans="2:5" ht="12.75">
      <c r="B156" s="9"/>
      <c r="C156" s="2"/>
      <c r="D156" s="2"/>
      <c r="E156" s="12" t="s">
        <v>2000</v>
      </c>
    </row>
    <row r="157" spans="2:5" ht="12.75">
      <c r="B157" s="9"/>
      <c r="C157" s="2"/>
      <c r="D157" s="2"/>
      <c r="E157" s="12" t="s">
        <v>2001</v>
      </c>
    </row>
    <row r="158" spans="2:5" ht="12.75">
      <c r="B158" s="9"/>
      <c r="C158" s="2"/>
      <c r="D158" s="2"/>
      <c r="E158" s="12" t="s">
        <v>1683</v>
      </c>
    </row>
    <row r="159" spans="2:5" ht="12.75">
      <c r="B159" s="9"/>
      <c r="C159" s="2"/>
      <c r="D159" s="2"/>
      <c r="E159" s="12" t="s">
        <v>1684</v>
      </c>
    </row>
    <row r="160" spans="2:5" ht="12.75">
      <c r="B160" s="9"/>
      <c r="C160" s="2"/>
      <c r="D160" s="2"/>
      <c r="E160" s="12" t="s">
        <v>1690</v>
      </c>
    </row>
    <row r="161" spans="2:5" ht="12.75">
      <c r="B161" s="9"/>
      <c r="C161" s="2"/>
      <c r="D161" s="2"/>
      <c r="E161" s="12" t="s">
        <v>1691</v>
      </c>
    </row>
    <row r="162" spans="2:5" ht="12.75">
      <c r="B162" s="9"/>
      <c r="C162" s="2"/>
      <c r="D162" s="2"/>
      <c r="E162" s="12" t="s">
        <v>1692</v>
      </c>
    </row>
    <row r="163" spans="3:5" ht="12.75">
      <c r="C163" s="2"/>
      <c r="D163" s="2"/>
      <c r="E163" s="12" t="s">
        <v>1563</v>
      </c>
    </row>
    <row r="164" spans="2:5" ht="12.75">
      <c r="B164" s="9"/>
      <c r="C164" s="2"/>
      <c r="D164" s="2"/>
      <c r="E164" s="12" t="s">
        <v>1698</v>
      </c>
    </row>
    <row r="165" spans="2:5" ht="12.75">
      <c r="B165" s="9"/>
      <c r="C165" s="2"/>
      <c r="D165" s="2"/>
      <c r="E165" s="12" t="s">
        <v>1702</v>
      </c>
    </row>
    <row r="166" spans="2:5" ht="12.75">
      <c r="B166" s="9"/>
      <c r="C166" s="2"/>
      <c r="D166" s="2"/>
      <c r="E166" s="12" t="s">
        <v>958</v>
      </c>
    </row>
    <row r="167" spans="2:5" ht="12.75">
      <c r="B167" s="9"/>
      <c r="C167" s="2"/>
      <c r="D167" s="2"/>
      <c r="E167" s="12" t="s">
        <v>1476</v>
      </c>
    </row>
    <row r="168" spans="2:4" ht="12.75">
      <c r="B168" s="9"/>
      <c r="C168" s="2"/>
      <c r="D168" s="2"/>
    </row>
    <row r="172" ht="12.75">
      <c r="E172" s="13"/>
    </row>
    <row r="173" spans="1:5" ht="12.75">
      <c r="A173" s="9"/>
      <c r="E173"/>
    </row>
    <row r="175" spans="1:7" ht="12.75">
      <c r="A175" s="9"/>
      <c r="B175" s="9"/>
      <c r="C175" s="2"/>
      <c r="D175" s="2"/>
      <c r="E175" s="15"/>
      <c r="G175" s="3"/>
    </row>
    <row r="176" spans="2:4" ht="12.75">
      <c r="B176" s="9"/>
      <c r="C176" s="2"/>
      <c r="D176" s="2"/>
    </row>
    <row r="177" spans="2:4" ht="12.75">
      <c r="B177" s="9"/>
      <c r="C177" s="2"/>
      <c r="D177" s="2"/>
    </row>
    <row r="178" spans="2:5" ht="17.25" customHeight="1">
      <c r="B178" s="9"/>
      <c r="C178" s="2"/>
      <c r="D178" s="2"/>
      <c r="E178" s="14"/>
    </row>
    <row r="179" spans="2:5" ht="12.75">
      <c r="B179" s="9"/>
      <c r="C179" s="2"/>
      <c r="D179" s="2"/>
      <c r="E179" s="11"/>
    </row>
    <row r="180" spans="2:5" ht="12.75" customHeight="1">
      <c r="B180" s="9"/>
      <c r="C180" s="2"/>
      <c r="D180" s="2"/>
      <c r="E180" s="11"/>
    </row>
    <row r="181" spans="2:5" ht="12.75" customHeight="1">
      <c r="B181" s="9"/>
      <c r="C181" s="2"/>
      <c r="D181" s="2"/>
      <c r="E181" s="11"/>
    </row>
    <row r="182" spans="2:14" ht="12.75">
      <c r="B182" s="9"/>
      <c r="C182" s="2"/>
      <c r="D182" s="2"/>
      <c r="N182" s="9"/>
    </row>
    <row r="183" spans="2:4" ht="12.75">
      <c r="B183" s="9"/>
      <c r="C183" s="2"/>
      <c r="D183" s="2"/>
    </row>
    <row r="184" spans="2:5" ht="12.75">
      <c r="B184" s="9"/>
      <c r="C184" s="2"/>
      <c r="D184" s="2"/>
      <c r="E184" s="4"/>
    </row>
    <row r="185" spans="2:4" ht="12.75">
      <c r="B185" s="9"/>
      <c r="C185" s="2"/>
      <c r="D185" s="2"/>
    </row>
    <row r="186" spans="2:4" ht="12.75">
      <c r="B186" s="9"/>
      <c r="C186" s="2"/>
      <c r="D186" s="2"/>
    </row>
    <row r="187" spans="2:4" ht="12.75">
      <c r="B187" s="9"/>
      <c r="C187" s="2"/>
      <c r="D187" s="2"/>
    </row>
    <row r="188" spans="2:4" ht="12.75">
      <c r="B188" s="9"/>
      <c r="C188" s="2"/>
      <c r="D188" s="2"/>
    </row>
    <row r="189" spans="2:4" ht="12.75">
      <c r="B189" s="9"/>
      <c r="C189" s="2"/>
      <c r="D189" s="2"/>
    </row>
    <row r="190" spans="2:4" ht="12.75">
      <c r="B190" s="9"/>
      <c r="C190" s="2"/>
      <c r="D190" s="2"/>
    </row>
    <row r="191" spans="2:5" ht="12.75">
      <c r="B191" s="9"/>
      <c r="C191" s="2"/>
      <c r="D191" s="2"/>
      <c r="E191" s="11"/>
    </row>
    <row r="192" spans="2:4" ht="12.75">
      <c r="B192" s="9"/>
      <c r="C192" s="2"/>
      <c r="D192" s="2"/>
    </row>
    <row r="193" spans="2:4" ht="12.75">
      <c r="B193" s="9"/>
      <c r="C193" s="2"/>
      <c r="D193" s="2"/>
    </row>
    <row r="194" spans="2:4" ht="12.75">
      <c r="B194" s="16"/>
      <c r="C194" s="2"/>
      <c r="D194" s="2"/>
    </row>
    <row r="195" spans="2:4" ht="12.75">
      <c r="B195" s="9"/>
      <c r="C195" s="2"/>
      <c r="D195" s="2"/>
    </row>
    <row r="196" spans="2:5" ht="12.75">
      <c r="B196" s="9"/>
      <c r="C196" s="2"/>
      <c r="D196" s="2"/>
      <c r="E196" s="11"/>
    </row>
    <row r="197" spans="2:5" ht="12.75">
      <c r="B197" s="9"/>
      <c r="C197" s="2"/>
      <c r="D197" s="2"/>
      <c r="E197" s="11"/>
    </row>
    <row r="198" spans="2:5" ht="12.75">
      <c r="B198" s="9"/>
      <c r="C198" s="2"/>
      <c r="D198" s="2"/>
      <c r="E198" s="11"/>
    </row>
    <row r="199" spans="2:5" ht="12.75">
      <c r="B199" s="16"/>
      <c r="C199" s="2"/>
      <c r="D199" s="2"/>
      <c r="E199" s="13"/>
    </row>
    <row r="200" spans="2:4" ht="12.75">
      <c r="B200" s="9"/>
      <c r="C200" s="2"/>
      <c r="D200" s="2"/>
    </row>
    <row r="201" ht="12.75">
      <c r="B201" s="9"/>
    </row>
    <row r="202" ht="12.75">
      <c r="B202" s="9"/>
    </row>
    <row r="203" ht="12.75">
      <c r="B203" s="9"/>
    </row>
    <row r="204" ht="12.75">
      <c r="B204" s="9"/>
    </row>
    <row r="205" ht="12.75">
      <c r="B205" s="9"/>
    </row>
    <row r="206" ht="12.75">
      <c r="B206" s="9"/>
    </row>
    <row r="207" ht="12.75">
      <c r="B207" s="9"/>
    </row>
    <row r="208" ht="12.75">
      <c r="B208" s="9"/>
    </row>
    <row r="209" ht="12.75">
      <c r="B209" s="9"/>
    </row>
    <row r="210" ht="12.75">
      <c r="B210" s="9"/>
    </row>
    <row r="211" ht="12.75">
      <c r="B211" s="9"/>
    </row>
    <row r="212" ht="12.75">
      <c r="B212" s="9"/>
    </row>
  </sheetData>
  <printOptions/>
  <pageMargins left="0.4" right="0.4" top="0.4" bottom="0.6" header="0.5" footer="0.5"/>
  <pageSetup horizontalDpi="300" verticalDpi="300" orientation="portrait" r:id="rId1"/>
  <ignoredErrors>
    <ignoredError sqref="C107" formula="1"/>
  </ignoredErrors>
</worksheet>
</file>

<file path=xl/worksheets/sheet23.xml><?xml version="1.0" encoding="utf-8"?>
<worksheet xmlns="http://schemas.openxmlformats.org/spreadsheetml/2006/main" xmlns:r="http://schemas.openxmlformats.org/officeDocument/2006/relationships">
  <dimension ref="A1:AC223"/>
  <sheetViews>
    <sheetView workbookViewId="0" topLeftCell="A168">
      <selection activeCell="F79" sqref="F79"/>
    </sheetView>
  </sheetViews>
  <sheetFormatPr defaultColWidth="9.140625" defaultRowHeight="12.75"/>
  <cols>
    <col min="1" max="1" width="6.28125" style="0" customWidth="1"/>
    <col min="2" max="2" width="6.140625" style="0" customWidth="1"/>
    <col min="3" max="3" width="5.57421875" style="0" customWidth="1"/>
    <col min="4" max="4" width="5.7109375" style="0" customWidth="1"/>
    <col min="5" max="5" width="21.28125" style="12" customWidth="1"/>
    <col min="6" max="6" width="4.7109375" style="0" customWidth="1"/>
    <col min="7" max="7" width="4.00390625" style="0" customWidth="1"/>
    <col min="8" max="8" width="3.8515625" style="0" customWidth="1"/>
    <col min="9" max="10" width="4.140625" style="0" customWidth="1"/>
    <col min="11" max="11" width="3.57421875" style="0" customWidth="1"/>
    <col min="12" max="12" width="3.7109375" style="0" customWidth="1"/>
    <col min="13" max="13" width="3.28125" style="0" customWidth="1"/>
    <col min="14" max="14" width="3.57421875" style="0" customWidth="1"/>
    <col min="15" max="15" width="3.7109375" style="0" customWidth="1"/>
    <col min="16" max="16" width="3.421875" style="0" customWidth="1"/>
    <col min="17" max="17" width="3.7109375" style="0" customWidth="1"/>
    <col min="18" max="19" width="2.8515625" style="0" customWidth="1"/>
    <col min="20" max="20" width="3.00390625" style="0" customWidth="1"/>
    <col min="21" max="21" width="4.7109375" style="0" customWidth="1"/>
    <col min="22" max="24" width="4.140625" style="0" customWidth="1"/>
    <col min="25" max="25" width="3.8515625" style="0" customWidth="1"/>
    <col min="26" max="26" width="4.140625" style="0" customWidth="1"/>
    <col min="27" max="27" width="4.7109375" style="0" customWidth="1"/>
  </cols>
  <sheetData>
    <row r="1" spans="1:6" ht="12.75">
      <c r="A1" t="s">
        <v>697</v>
      </c>
      <c r="B1" t="s">
        <v>1603</v>
      </c>
      <c r="C1" t="s">
        <v>2074</v>
      </c>
      <c r="D1" t="s">
        <v>1242</v>
      </c>
      <c r="E1" s="12" t="s">
        <v>2075</v>
      </c>
      <c r="F1" s="12" t="s">
        <v>1322</v>
      </c>
    </row>
    <row r="2" spans="2:3" ht="12.75">
      <c r="B2" s="9"/>
      <c r="C2" s="2"/>
    </row>
    <row r="3" spans="1:5" ht="12.75">
      <c r="A3">
        <v>0</v>
      </c>
      <c r="B3">
        <v>25</v>
      </c>
      <c r="C3" s="3">
        <f>B3/28.349523</f>
        <v>0.881849052627799</v>
      </c>
      <c r="D3" s="3">
        <f>C3/16</f>
        <v>0.05511556578923744</v>
      </c>
      <c r="E3" s="12" t="s">
        <v>1800</v>
      </c>
    </row>
    <row r="4" spans="1:5" ht="12.75">
      <c r="A4" t="s">
        <v>233</v>
      </c>
      <c r="B4" s="9">
        <v>17</v>
      </c>
      <c r="C4" s="2">
        <f>B4/28.349523</f>
        <v>0.5996573557869034</v>
      </c>
      <c r="D4" s="2">
        <f>C4/16</f>
        <v>0.03747858473668146</v>
      </c>
      <c r="E4" s="12" t="s">
        <v>261</v>
      </c>
    </row>
    <row r="5" spans="1:5" ht="12.75">
      <c r="A5">
        <v>0</v>
      </c>
      <c r="B5" s="9">
        <v>30</v>
      </c>
      <c r="C5" s="2">
        <f>B5/28.349523</f>
        <v>1.058218863153359</v>
      </c>
      <c r="D5" s="2">
        <f>C5/16</f>
        <v>0.06613867894708493</v>
      </c>
      <c r="E5" s="12" t="s">
        <v>225</v>
      </c>
    </row>
    <row r="6" spans="1:5" ht="12.75">
      <c r="A6" t="s">
        <v>239</v>
      </c>
      <c r="B6" s="9">
        <v>44</v>
      </c>
      <c r="C6" s="2">
        <f aca="true" t="shared" si="0" ref="C6:C59">B6/28.349523</f>
        <v>1.5520543326249263</v>
      </c>
      <c r="D6" s="2">
        <f aca="true" t="shared" si="1" ref="D6:D59">C6/16</f>
        <v>0.0970033957890579</v>
      </c>
      <c r="E6" s="12" t="s">
        <v>1827</v>
      </c>
    </row>
    <row r="7" spans="1:5" ht="12.75">
      <c r="A7">
        <v>0</v>
      </c>
      <c r="B7" s="16">
        <v>166</v>
      </c>
      <c r="C7" s="2">
        <f>B7/28.349523</f>
        <v>5.855477709448586</v>
      </c>
      <c r="D7" s="2">
        <f>C7/16</f>
        <v>0.3659673568405366</v>
      </c>
      <c r="E7" s="4" t="s">
        <v>2146</v>
      </c>
    </row>
    <row r="8" spans="1:5" ht="12.75">
      <c r="A8" t="s">
        <v>239</v>
      </c>
      <c r="B8" s="9">
        <v>19</v>
      </c>
      <c r="C8" s="2">
        <f t="shared" si="0"/>
        <v>0.6702052799971272</v>
      </c>
      <c r="D8" s="2">
        <f t="shared" si="1"/>
        <v>0.04188782999982045</v>
      </c>
      <c r="E8" s="12" t="s">
        <v>1471</v>
      </c>
    </row>
    <row r="9" spans="1:5" ht="12.75">
      <c r="A9">
        <v>0</v>
      </c>
      <c r="B9" s="9">
        <f>C9*28.349523</f>
        <v>1403.3013885</v>
      </c>
      <c r="C9" s="2">
        <v>49.5</v>
      </c>
      <c r="D9" s="2">
        <v>3.1</v>
      </c>
      <c r="E9" t="s">
        <v>1983</v>
      </c>
    </row>
    <row r="10" spans="1:6" ht="12.75">
      <c r="A10">
        <v>0</v>
      </c>
      <c r="B10" s="9">
        <v>43</v>
      </c>
      <c r="C10" s="2">
        <f>B10/28.349523</f>
        <v>1.5167803705198144</v>
      </c>
      <c r="D10" s="2">
        <f>C10/16</f>
        <v>0.0947987731574884</v>
      </c>
      <c r="E10" t="s">
        <v>2110</v>
      </c>
      <c r="F10" s="2">
        <f>3.2-D10</f>
        <v>3.105201226842512</v>
      </c>
    </row>
    <row r="11" spans="1:5" ht="12.75">
      <c r="A11" t="s">
        <v>239</v>
      </c>
      <c r="B11" s="9">
        <f>454*4</f>
        <v>1816</v>
      </c>
      <c r="C11" s="2">
        <f>B11/28.349523</f>
        <v>64.05751518288332</v>
      </c>
      <c r="D11" s="2">
        <f>C11/16</f>
        <v>4.003594698930208</v>
      </c>
      <c r="E11" s="4" t="s">
        <v>2147</v>
      </c>
    </row>
    <row r="12" spans="3:10" ht="12.75">
      <c r="C12" s="2"/>
      <c r="D12" s="2"/>
      <c r="E12" s="4"/>
      <c r="J12" s="2"/>
    </row>
    <row r="14" spans="2:5" ht="12.75">
      <c r="B14" s="9"/>
      <c r="C14" s="2"/>
      <c r="D14" s="2"/>
      <c r="E14" s="4"/>
    </row>
    <row r="15" spans="2:5" ht="12.75">
      <c r="B15" s="9"/>
      <c r="C15" s="2"/>
      <c r="D15" s="2"/>
      <c r="E15" s="4"/>
    </row>
    <row r="16" spans="2:5" ht="12.75">
      <c r="B16" s="9"/>
      <c r="C16" s="2"/>
      <c r="D16" s="2"/>
      <c r="E16" s="4"/>
    </row>
    <row r="17" spans="1:5" ht="12.75">
      <c r="A17" t="s">
        <v>234</v>
      </c>
      <c r="B17" s="9"/>
      <c r="C17" s="2"/>
      <c r="D17" s="2"/>
      <c r="E17" s="4" t="s">
        <v>2112</v>
      </c>
    </row>
    <row r="19" spans="1:5" ht="12.75">
      <c r="A19">
        <v>0</v>
      </c>
      <c r="B19" s="9">
        <v>593</v>
      </c>
      <c r="C19" s="2">
        <f>B19/28.349523</f>
        <v>20.917459528331392</v>
      </c>
      <c r="D19" s="2">
        <f>C19/16</f>
        <v>1.307341220520712</v>
      </c>
      <c r="E19" s="12" t="s">
        <v>339</v>
      </c>
    </row>
    <row r="20" spans="1:5" ht="12.75">
      <c r="A20">
        <v>0</v>
      </c>
      <c r="B20" s="9">
        <v>246</v>
      </c>
      <c r="C20" s="2">
        <f>B20/28.349523</f>
        <v>8.677394677857542</v>
      </c>
      <c r="D20" s="2">
        <f>C20/16</f>
        <v>0.5423371673660964</v>
      </c>
      <c r="E20" s="4" t="s">
        <v>1985</v>
      </c>
    </row>
    <row r="21" spans="1:5" ht="12.75">
      <c r="A21">
        <v>0</v>
      </c>
      <c r="B21" s="9">
        <v>408</v>
      </c>
      <c r="C21" s="2">
        <f>B21/28.349523</f>
        <v>14.39177653888568</v>
      </c>
      <c r="D21" s="2">
        <f>C21/16</f>
        <v>0.899486033680355</v>
      </c>
      <c r="E21" s="11" t="s">
        <v>2065</v>
      </c>
    </row>
    <row r="22" spans="1:9" ht="12.75">
      <c r="A22">
        <v>0</v>
      </c>
      <c r="B22" s="9">
        <f>112</f>
        <v>112</v>
      </c>
      <c r="C22" s="2">
        <f>B22/28.349523</f>
        <v>3.95068375577254</v>
      </c>
      <c r="D22" s="2">
        <f>C22/16</f>
        <v>0.24691773473578374</v>
      </c>
      <c r="E22" s="12" t="s">
        <v>494</v>
      </c>
      <c r="I22" s="2"/>
    </row>
    <row r="23" spans="1:9" ht="12.75">
      <c r="A23">
        <v>0</v>
      </c>
      <c r="B23" s="9">
        <v>753</v>
      </c>
      <c r="C23" s="2">
        <f>B23/28.349523</f>
        <v>26.561293465149305</v>
      </c>
      <c r="D23" s="2">
        <f>C23/16</f>
        <v>1.6600808415718316</v>
      </c>
      <c r="E23" t="s">
        <v>1606</v>
      </c>
      <c r="I23" s="2"/>
    </row>
    <row r="24" spans="1:5" ht="12.75">
      <c r="A24">
        <v>0</v>
      </c>
      <c r="B24" s="9">
        <v>245</v>
      </c>
      <c r="C24" s="2">
        <f t="shared" si="0"/>
        <v>8.64212071575243</v>
      </c>
      <c r="D24" s="2">
        <f t="shared" si="1"/>
        <v>0.5401325447345269</v>
      </c>
      <c r="E24" s="4" t="s">
        <v>1799</v>
      </c>
    </row>
    <row r="25" spans="1:5" ht="12.75">
      <c r="A25">
        <v>0</v>
      </c>
      <c r="B25" s="16">
        <v>565</v>
      </c>
      <c r="C25" s="2">
        <f t="shared" si="0"/>
        <v>19.92978858938826</v>
      </c>
      <c r="D25" s="2">
        <f t="shared" si="1"/>
        <v>1.2456117868367662</v>
      </c>
      <c r="E25" s="4" t="s">
        <v>1886</v>
      </c>
    </row>
    <row r="26" spans="2:4" ht="12.75">
      <c r="B26" s="9"/>
      <c r="C26" s="2"/>
      <c r="D26" s="2"/>
    </row>
    <row r="27" spans="1:5" ht="12.75">
      <c r="A27">
        <v>0</v>
      </c>
      <c r="B27" s="16">
        <v>44</v>
      </c>
      <c r="C27" s="2">
        <f t="shared" si="0"/>
        <v>1.5520543326249263</v>
      </c>
      <c r="D27" s="2">
        <f t="shared" si="1"/>
        <v>0.0970033957890579</v>
      </c>
      <c r="E27" s="11" t="s">
        <v>726</v>
      </c>
    </row>
    <row r="28" spans="1:5" ht="12.75">
      <c r="A28">
        <v>0</v>
      </c>
      <c r="B28" s="9">
        <v>229</v>
      </c>
      <c r="C28" s="2">
        <f t="shared" si="0"/>
        <v>8.07773732207064</v>
      </c>
      <c r="D28" s="2">
        <f t="shared" si="1"/>
        <v>0.504858582629415</v>
      </c>
      <c r="E28" t="s">
        <v>56</v>
      </c>
    </row>
    <row r="29" spans="1:5" ht="12.75">
      <c r="A29">
        <v>0</v>
      </c>
      <c r="B29" s="9">
        <v>94</v>
      </c>
      <c r="C29" s="2">
        <f t="shared" si="0"/>
        <v>3.3157524378805245</v>
      </c>
      <c r="D29" s="2">
        <f t="shared" si="1"/>
        <v>0.20723452736753278</v>
      </c>
      <c r="E29" s="12" t="s">
        <v>1027</v>
      </c>
    </row>
    <row r="30" spans="1:5" ht="12.75">
      <c r="A30">
        <v>0</v>
      </c>
      <c r="B30" s="9">
        <v>297</v>
      </c>
      <c r="C30" s="2">
        <f t="shared" si="0"/>
        <v>10.476366745218252</v>
      </c>
      <c r="D30" s="2">
        <f t="shared" si="1"/>
        <v>0.6547729215761408</v>
      </c>
      <c r="E30" s="12" t="s">
        <v>2028</v>
      </c>
    </row>
    <row r="31" spans="1:5" ht="12.75">
      <c r="A31">
        <v>0</v>
      </c>
      <c r="B31" s="9">
        <v>236</v>
      </c>
      <c r="C31" s="2">
        <f t="shared" si="0"/>
        <v>8.324655056806423</v>
      </c>
      <c r="D31" s="2">
        <f t="shared" si="1"/>
        <v>0.5202909410504014</v>
      </c>
      <c r="E31" t="s">
        <v>2071</v>
      </c>
    </row>
    <row r="32" spans="1:5" ht="12.75">
      <c r="A32">
        <v>0</v>
      </c>
      <c r="B32" s="9">
        <v>87</v>
      </c>
      <c r="C32" s="2">
        <f t="shared" si="0"/>
        <v>3.0688347031447405</v>
      </c>
      <c r="D32" s="2">
        <f t="shared" si="1"/>
        <v>0.19180216894654628</v>
      </c>
      <c r="E32" t="s">
        <v>1721</v>
      </c>
    </row>
    <row r="33" spans="2:4" ht="12.75">
      <c r="B33" s="9"/>
      <c r="C33" s="2"/>
      <c r="D33" s="2"/>
    </row>
    <row r="34" spans="1:5" ht="12.75">
      <c r="A34">
        <v>0</v>
      </c>
      <c r="B34" s="9">
        <v>24</v>
      </c>
      <c r="C34" s="2">
        <f t="shared" si="0"/>
        <v>0.8465750905226871</v>
      </c>
      <c r="D34" s="2">
        <f t="shared" si="1"/>
        <v>0.05291094315766794</v>
      </c>
      <c r="E34" s="12" t="s">
        <v>320</v>
      </c>
    </row>
    <row r="35" spans="1:5" ht="12.75">
      <c r="A35">
        <v>0</v>
      </c>
      <c r="B35" s="9">
        <v>53</v>
      </c>
      <c r="C35" s="2">
        <f t="shared" si="0"/>
        <v>1.869519991570934</v>
      </c>
      <c r="D35" s="2">
        <f t="shared" si="1"/>
        <v>0.11684499947318337</v>
      </c>
      <c r="E35" s="12" t="s">
        <v>1033</v>
      </c>
    </row>
    <row r="36" spans="1:5" ht="12.75">
      <c r="A36">
        <v>0</v>
      </c>
      <c r="B36" s="9">
        <v>11</v>
      </c>
      <c r="C36" s="2">
        <f t="shared" si="0"/>
        <v>0.3880135831562316</v>
      </c>
      <c r="D36" s="2">
        <f t="shared" si="1"/>
        <v>0.024250848947264474</v>
      </c>
      <c r="E36" s="12" t="s">
        <v>1730</v>
      </c>
    </row>
    <row r="37" spans="1:5" ht="12.75">
      <c r="A37">
        <v>0</v>
      </c>
      <c r="B37" s="9">
        <v>2</v>
      </c>
      <c r="C37" s="2">
        <f t="shared" si="0"/>
        <v>0.07054792421022392</v>
      </c>
      <c r="D37" s="2">
        <f t="shared" si="1"/>
        <v>0.004409245263138995</v>
      </c>
      <c r="E37" s="12" t="s">
        <v>1470</v>
      </c>
    </row>
    <row r="38" spans="1:5" ht="12.75">
      <c r="A38" t="s">
        <v>233</v>
      </c>
      <c r="B38" s="9">
        <v>15</v>
      </c>
      <c r="C38" s="2">
        <f t="shared" si="0"/>
        <v>0.5291094315766794</v>
      </c>
      <c r="D38" s="2">
        <f t="shared" si="1"/>
        <v>0.033069339473542465</v>
      </c>
      <c r="E38" s="12" t="s">
        <v>537</v>
      </c>
    </row>
    <row r="39" spans="1:5" ht="12.75">
      <c r="A39">
        <v>0</v>
      </c>
      <c r="B39" s="9">
        <v>123</v>
      </c>
      <c r="C39" s="2">
        <f t="shared" si="0"/>
        <v>4.338697338928771</v>
      </c>
      <c r="D39" s="2">
        <f t="shared" si="1"/>
        <v>0.2711685836830482</v>
      </c>
      <c r="E39" s="12" t="s">
        <v>1474</v>
      </c>
    </row>
    <row r="40" spans="1:5" ht="12.75">
      <c r="A40" t="s">
        <v>231</v>
      </c>
      <c r="B40" s="9">
        <f>C40*28.349523</f>
        <v>2239.612317</v>
      </c>
      <c r="C40" s="2">
        <f>4*16+15</f>
        <v>79</v>
      </c>
      <c r="D40" s="2">
        <f>C40/16</f>
        <v>4.9375</v>
      </c>
      <c r="E40" t="s">
        <v>1981</v>
      </c>
    </row>
    <row r="41" spans="1:16" ht="15">
      <c r="A41">
        <v>0</v>
      </c>
      <c r="B41">
        <v>21</v>
      </c>
      <c r="C41" s="2">
        <f t="shared" si="0"/>
        <v>0.7407532042073511</v>
      </c>
      <c r="D41" s="2">
        <f t="shared" si="1"/>
        <v>0.046297075262959446</v>
      </c>
      <c r="E41" s="4" t="s">
        <v>86</v>
      </c>
      <c r="P41" s="31"/>
    </row>
    <row r="42" ht="15">
      <c r="P42" s="31" t="s">
        <v>69</v>
      </c>
    </row>
    <row r="43" spans="1:5" ht="12.75">
      <c r="A43">
        <v>0</v>
      </c>
      <c r="B43" s="9">
        <v>15</v>
      </c>
      <c r="C43" s="2">
        <f t="shared" si="0"/>
        <v>0.5291094315766794</v>
      </c>
      <c r="D43" s="2">
        <f t="shared" si="1"/>
        <v>0.033069339473542465</v>
      </c>
      <c r="E43" s="11" t="s">
        <v>1063</v>
      </c>
    </row>
    <row r="44" spans="1:5" ht="12.75">
      <c r="A44">
        <v>0</v>
      </c>
      <c r="B44" s="9">
        <v>6</v>
      </c>
      <c r="C44" s="2">
        <f t="shared" si="0"/>
        <v>0.21164377263067177</v>
      </c>
      <c r="D44" s="2">
        <f t="shared" si="1"/>
        <v>0.013227735789416986</v>
      </c>
      <c r="E44" s="12" t="s">
        <v>2144</v>
      </c>
    </row>
    <row r="45" spans="1:5" ht="12.75">
      <c r="A45">
        <v>0</v>
      </c>
      <c r="B45" s="9">
        <v>280</v>
      </c>
      <c r="C45" s="2">
        <f>B45/28.349523</f>
        <v>9.87670938943135</v>
      </c>
      <c r="D45" s="2">
        <f>C45/16</f>
        <v>0.6172943368394593</v>
      </c>
      <c r="E45" s="12" t="s">
        <v>2145</v>
      </c>
    </row>
    <row r="46" spans="1:5" ht="12.75">
      <c r="A46">
        <v>0</v>
      </c>
      <c r="B46" s="9">
        <v>40</v>
      </c>
      <c r="C46" s="2">
        <f t="shared" si="0"/>
        <v>1.4109584842044784</v>
      </c>
      <c r="D46" s="2">
        <f t="shared" si="1"/>
        <v>0.0881849052627799</v>
      </c>
      <c r="E46" s="4" t="s">
        <v>83</v>
      </c>
    </row>
    <row r="47" spans="1:5" ht="12.75">
      <c r="A47" t="s">
        <v>234</v>
      </c>
      <c r="B47" s="9">
        <v>143</v>
      </c>
      <c r="C47" s="2">
        <f t="shared" si="0"/>
        <v>5.04417658103101</v>
      </c>
      <c r="D47" s="2">
        <f t="shared" si="1"/>
        <v>0.31526103631443814</v>
      </c>
      <c r="E47" t="s">
        <v>1720</v>
      </c>
    </row>
    <row r="48" spans="1:5" ht="12.75">
      <c r="A48" t="s">
        <v>234</v>
      </c>
      <c r="B48" s="9">
        <v>47</v>
      </c>
      <c r="C48" s="2">
        <f t="shared" si="0"/>
        <v>1.6578762189402623</v>
      </c>
      <c r="D48" s="2">
        <f t="shared" si="1"/>
        <v>0.10361726368376639</v>
      </c>
      <c r="E48" t="s">
        <v>1718</v>
      </c>
    </row>
    <row r="49" spans="1:5" ht="12.75">
      <c r="A49" t="s">
        <v>251</v>
      </c>
      <c r="B49" s="9">
        <v>4</v>
      </c>
      <c r="C49" s="2">
        <f t="shared" si="0"/>
        <v>0.14109584842044784</v>
      </c>
      <c r="D49" s="2">
        <f t="shared" si="1"/>
        <v>0.00881849052627799</v>
      </c>
      <c r="E49" s="12" t="s">
        <v>2029</v>
      </c>
    </row>
    <row r="50" spans="1:5" ht="12.75">
      <c r="A50">
        <v>0</v>
      </c>
      <c r="B50" s="9">
        <v>3</v>
      </c>
      <c r="C50" s="2">
        <f t="shared" si="0"/>
        <v>0.10582188631533589</v>
      </c>
      <c r="D50" s="2">
        <f t="shared" si="1"/>
        <v>0.006613867894708493</v>
      </c>
      <c r="E50" s="12" t="s">
        <v>1525</v>
      </c>
    </row>
    <row r="51" spans="1:5" ht="12.75">
      <c r="A51" t="s">
        <v>233</v>
      </c>
      <c r="B51" s="9">
        <v>163</v>
      </c>
      <c r="C51" s="2">
        <f t="shared" si="0"/>
        <v>5.749655823133249</v>
      </c>
      <c r="D51" s="2">
        <f t="shared" si="1"/>
        <v>0.3593534889458281</v>
      </c>
      <c r="E51" s="4" t="s">
        <v>1711</v>
      </c>
    </row>
    <row r="53" spans="1:5" ht="12.75">
      <c r="A53" t="s">
        <v>234</v>
      </c>
      <c r="B53" s="9">
        <f>90+21+29</f>
        <v>140</v>
      </c>
      <c r="C53" s="2">
        <f t="shared" si="0"/>
        <v>4.938354694715675</v>
      </c>
      <c r="D53" s="2">
        <f t="shared" si="1"/>
        <v>0.30864716841972967</v>
      </c>
      <c r="E53" s="12" t="s">
        <v>237</v>
      </c>
    </row>
    <row r="54" spans="1:5" ht="12.75">
      <c r="A54" t="s">
        <v>234</v>
      </c>
      <c r="B54" s="9"/>
      <c r="C54" s="2"/>
      <c r="D54" s="2"/>
      <c r="E54" s="12" t="s">
        <v>238</v>
      </c>
    </row>
    <row r="55" spans="1:5" ht="12.75">
      <c r="A55">
        <v>0</v>
      </c>
      <c r="B55" s="16">
        <v>74</v>
      </c>
      <c r="C55" s="2">
        <f t="shared" si="0"/>
        <v>2.610273195778285</v>
      </c>
      <c r="D55" s="2">
        <f t="shared" si="1"/>
        <v>0.1631420747361428</v>
      </c>
      <c r="E55" s="13" t="s">
        <v>1519</v>
      </c>
    </row>
    <row r="56" spans="1:5" ht="12.75">
      <c r="A56" t="s">
        <v>231</v>
      </c>
      <c r="B56" s="16">
        <v>32</v>
      </c>
      <c r="C56" s="2">
        <f t="shared" si="0"/>
        <v>1.1287667873635827</v>
      </c>
      <c r="D56" s="2">
        <f t="shared" si="1"/>
        <v>0.07054792421022392</v>
      </c>
      <c r="E56" s="13" t="s">
        <v>1709</v>
      </c>
    </row>
    <row r="57" spans="1:5" ht="12.75">
      <c r="A57" t="s">
        <v>231</v>
      </c>
      <c r="B57" s="16">
        <v>53</v>
      </c>
      <c r="C57" s="2">
        <f t="shared" si="0"/>
        <v>1.869519991570934</v>
      </c>
      <c r="D57" s="2">
        <f t="shared" si="1"/>
        <v>0.11684499947318337</v>
      </c>
      <c r="E57" s="11" t="s">
        <v>1068</v>
      </c>
    </row>
    <row r="58" spans="1:5" ht="12.75">
      <c r="A58" t="s">
        <v>233</v>
      </c>
      <c r="B58" s="9">
        <v>8</v>
      </c>
      <c r="C58" s="2">
        <f t="shared" si="0"/>
        <v>0.2821916968408957</v>
      </c>
      <c r="D58" s="2">
        <f t="shared" si="1"/>
        <v>0.01763698105255598</v>
      </c>
      <c r="E58" s="11" t="s">
        <v>1067</v>
      </c>
    </row>
    <row r="59" spans="1:5" ht="12.75">
      <c r="A59">
        <v>0</v>
      </c>
      <c r="B59" s="9">
        <v>27</v>
      </c>
      <c r="C59" s="2">
        <f t="shared" si="0"/>
        <v>0.9523969768380229</v>
      </c>
      <c r="D59" s="2">
        <f t="shared" si="1"/>
        <v>0.05952481105237643</v>
      </c>
      <c r="E59" t="s">
        <v>1929</v>
      </c>
    </row>
    <row r="60" spans="1:5" ht="12.75">
      <c r="A60">
        <v>0</v>
      </c>
      <c r="B60" s="9">
        <v>239</v>
      </c>
      <c r="C60" s="2">
        <f>B60/28.349523</f>
        <v>8.430476943121759</v>
      </c>
      <c r="D60" s="2">
        <f>C60/16</f>
        <v>0.5269048089451099</v>
      </c>
      <c r="E60" s="12" t="s">
        <v>256</v>
      </c>
    </row>
    <row r="61" spans="1:5" ht="12.75">
      <c r="A61">
        <v>0</v>
      </c>
      <c r="B61" s="9">
        <v>424</v>
      </c>
      <c r="C61" s="2">
        <f>B61/28.349523</f>
        <v>14.956159932567472</v>
      </c>
      <c r="D61" s="2">
        <f>C61/16</f>
        <v>0.934759995785467</v>
      </c>
      <c r="E61" s="12" t="s">
        <v>2027</v>
      </c>
    </row>
    <row r="62" spans="2:4" ht="12.75">
      <c r="B62" s="9"/>
      <c r="C62" s="2"/>
      <c r="D62" s="2"/>
    </row>
    <row r="63" spans="5:28" ht="117" customHeight="1">
      <c r="E63" s="12" t="s">
        <v>2075</v>
      </c>
      <c r="F63" s="28" t="s">
        <v>1932</v>
      </c>
      <c r="G63" s="1" t="s">
        <v>559</v>
      </c>
      <c r="H63" s="1" t="s">
        <v>585</v>
      </c>
      <c r="I63" s="1" t="s">
        <v>584</v>
      </c>
      <c r="J63" s="1" t="s">
        <v>583</v>
      </c>
      <c r="K63" s="1" t="s">
        <v>582</v>
      </c>
      <c r="L63" s="1" t="s">
        <v>581</v>
      </c>
      <c r="M63" s="1" t="s">
        <v>580</v>
      </c>
      <c r="N63" s="1" t="s">
        <v>579</v>
      </c>
      <c r="O63" s="1" t="s">
        <v>560</v>
      </c>
      <c r="P63" s="1" t="s">
        <v>561</v>
      </c>
      <c r="Q63" s="1" t="s">
        <v>1797</v>
      </c>
      <c r="R63" s="1" t="s">
        <v>1785</v>
      </c>
      <c r="S63" s="1" t="s">
        <v>562</v>
      </c>
      <c r="T63" s="1" t="s">
        <v>563</v>
      </c>
      <c r="U63" s="1" t="s">
        <v>572</v>
      </c>
      <c r="V63" s="1" t="s">
        <v>571</v>
      </c>
      <c r="W63" s="1" t="s">
        <v>575</v>
      </c>
      <c r="X63" s="1" t="s">
        <v>576</v>
      </c>
      <c r="Y63" s="1" t="s">
        <v>577</v>
      </c>
      <c r="Z63" s="1" t="s">
        <v>578</v>
      </c>
      <c r="AA63" s="1" t="s">
        <v>553</v>
      </c>
      <c r="AB63" s="1"/>
    </row>
    <row r="64" spans="1:29" ht="12.75">
      <c r="A64" s="9">
        <f>G64*U64</f>
        <v>0</v>
      </c>
      <c r="C64" s="2"/>
      <c r="D64" s="2"/>
      <c r="E64" s="11"/>
      <c r="F64" s="9"/>
      <c r="G64" s="6"/>
      <c r="I64" s="6"/>
      <c r="O64" s="2"/>
      <c r="P64" s="9"/>
      <c r="Q64" s="9"/>
      <c r="R64" s="29"/>
      <c r="S64" s="16"/>
      <c r="T64" s="9"/>
      <c r="U64" s="2"/>
      <c r="V64" s="9"/>
      <c r="W64" s="9"/>
      <c r="X64" s="9"/>
      <c r="Y64" s="9"/>
      <c r="AA64" s="2"/>
      <c r="AC64" s="9"/>
    </row>
    <row r="65" spans="1:29" ht="12.75">
      <c r="A65">
        <f aca="true" t="shared" si="2" ref="A65:A76">G65*U65</f>
        <v>270</v>
      </c>
      <c r="B65" s="9">
        <f aca="true" t="shared" si="3" ref="B65:B76">F65*U65</f>
        <v>66</v>
      </c>
      <c r="C65" s="2">
        <f>B65/28.349523</f>
        <v>2.3280814989373892</v>
      </c>
      <c r="D65" s="2">
        <f>C65/16</f>
        <v>0.14550509368358683</v>
      </c>
      <c r="E65" s="11" t="s">
        <v>253</v>
      </c>
      <c r="F65" s="9">
        <v>22</v>
      </c>
      <c r="G65">
        <v>90</v>
      </c>
      <c r="H65">
        <v>2</v>
      </c>
      <c r="I65">
        <v>0.5</v>
      </c>
      <c r="J65">
        <v>0</v>
      </c>
      <c r="K65">
        <v>18</v>
      </c>
      <c r="L65">
        <v>8</v>
      </c>
      <c r="M65">
        <v>1</v>
      </c>
      <c r="N65">
        <v>0</v>
      </c>
      <c r="O65" s="2">
        <f aca="true" t="shared" si="4" ref="O65:O76">G65/F65</f>
        <v>4.090909090909091</v>
      </c>
      <c r="P65" s="9">
        <f>100*M65/F65</f>
        <v>4.545454545454546</v>
      </c>
      <c r="Q65" s="9">
        <f>100*9*H65/G65</f>
        <v>20</v>
      </c>
      <c r="R65" s="16">
        <f aca="true" t="shared" si="5" ref="R65:R76">100*(I65*9)/G65</f>
        <v>5</v>
      </c>
      <c r="S65" s="29">
        <f aca="true" t="shared" si="6" ref="S65:S76">100*K65/F65</f>
        <v>81.81818181818181</v>
      </c>
      <c r="T65" s="9">
        <f>100*N65/F65</f>
        <v>0</v>
      </c>
      <c r="U65" s="2">
        <v>3</v>
      </c>
      <c r="V65" s="9">
        <f aca="true" t="shared" si="7" ref="V65:V76">U65*M65</f>
        <v>3</v>
      </c>
      <c r="W65" s="9">
        <f aca="true" t="shared" si="8" ref="W65:W76">U65*H65</f>
        <v>6</v>
      </c>
      <c r="X65" s="9">
        <f aca="true" t="shared" si="9" ref="X65:X76">U65*K65</f>
        <v>54</v>
      </c>
      <c r="Y65" s="9">
        <f aca="true" t="shared" si="10" ref="Y65:Y76">N65*U65</f>
        <v>0</v>
      </c>
      <c r="Z65">
        <f aca="true" t="shared" si="11" ref="Z65:Z76">U65*J65</f>
        <v>0</v>
      </c>
      <c r="AA65" s="9">
        <f aca="true" t="shared" si="12" ref="AA65:AA70">U65*I65</f>
        <v>1.5</v>
      </c>
      <c r="AB65" s="9"/>
      <c r="AC65" s="9"/>
    </row>
    <row r="66" spans="1:29" ht="12.75">
      <c r="A66">
        <f t="shared" si="2"/>
        <v>380</v>
      </c>
      <c r="B66" s="9">
        <f t="shared" si="3"/>
        <v>78.24468347999999</v>
      </c>
      <c r="C66" s="2">
        <f>B66/28.349523</f>
        <v>2.76</v>
      </c>
      <c r="D66" s="2">
        <f>C66/16</f>
        <v>0.1725</v>
      </c>
      <c r="E66" s="11" t="s">
        <v>1937</v>
      </c>
      <c r="F66" s="9">
        <f>1.38*28.349523</f>
        <v>39.122341739999996</v>
      </c>
      <c r="G66">
        <v>190</v>
      </c>
      <c r="H66">
        <v>10</v>
      </c>
      <c r="I66">
        <v>2</v>
      </c>
      <c r="J66">
        <v>0</v>
      </c>
      <c r="K66">
        <v>23</v>
      </c>
      <c r="L66">
        <v>4</v>
      </c>
      <c r="M66">
        <v>4</v>
      </c>
      <c r="N66">
        <v>1</v>
      </c>
      <c r="O66" s="2">
        <f t="shared" si="4"/>
        <v>4.856559999979184</v>
      </c>
      <c r="P66" s="9">
        <f>100*M66/F66</f>
        <v>10.22433684206144</v>
      </c>
      <c r="Q66" s="9">
        <f aca="true" t="shared" si="13" ref="Q66:Q76">100*9*H66/G66</f>
        <v>47.36842105263158</v>
      </c>
      <c r="R66" s="16">
        <f t="shared" si="5"/>
        <v>9.473684210526315</v>
      </c>
      <c r="S66" s="9">
        <f t="shared" si="6"/>
        <v>58.789936841853276</v>
      </c>
      <c r="T66" s="9">
        <f>100*N66/F66</f>
        <v>2.55608421051536</v>
      </c>
      <c r="U66" s="2">
        <v>2</v>
      </c>
      <c r="V66" s="9">
        <f t="shared" si="7"/>
        <v>8</v>
      </c>
      <c r="W66" s="9">
        <f t="shared" si="8"/>
        <v>20</v>
      </c>
      <c r="X66" s="9">
        <f t="shared" si="9"/>
        <v>46</v>
      </c>
      <c r="Y66" s="9">
        <f t="shared" si="10"/>
        <v>2</v>
      </c>
      <c r="Z66">
        <f t="shared" si="11"/>
        <v>0</v>
      </c>
      <c r="AA66" s="9">
        <f t="shared" si="12"/>
        <v>4</v>
      </c>
      <c r="AB66" s="9"/>
      <c r="AC66" s="9"/>
    </row>
    <row r="67" spans="1:27" ht="12.75">
      <c r="A67" s="9">
        <f t="shared" si="2"/>
        <v>2616.774193548387</v>
      </c>
      <c r="B67" s="12">
        <f t="shared" si="3"/>
        <v>338</v>
      </c>
      <c r="C67" s="2">
        <f>B67/28.349523</f>
        <v>11.922599191527842</v>
      </c>
      <c r="D67" s="2">
        <f>C67/16</f>
        <v>0.7451624494704902</v>
      </c>
      <c r="E67" s="11" t="s">
        <v>539</v>
      </c>
      <c r="F67" s="9">
        <v>31</v>
      </c>
      <c r="G67">
        <v>240</v>
      </c>
      <c r="H67">
        <v>23</v>
      </c>
      <c r="I67">
        <v>3.5</v>
      </c>
      <c r="J67">
        <v>0</v>
      </c>
      <c r="K67">
        <v>4</v>
      </c>
      <c r="L67">
        <v>1</v>
      </c>
      <c r="M67">
        <v>2</v>
      </c>
      <c r="N67">
        <v>2</v>
      </c>
      <c r="O67" s="32">
        <f t="shared" si="4"/>
        <v>7.741935483870968</v>
      </c>
      <c r="P67" s="9">
        <f>100*M67/F67</f>
        <v>6.451612903225806</v>
      </c>
      <c r="Q67" s="29">
        <f t="shared" si="13"/>
        <v>86.25</v>
      </c>
      <c r="R67" s="29">
        <f t="shared" si="5"/>
        <v>13.125</v>
      </c>
      <c r="S67" s="9">
        <f t="shared" si="6"/>
        <v>12.903225806451612</v>
      </c>
      <c r="T67" s="9">
        <f>100*N67/F67</f>
        <v>6.451612903225806</v>
      </c>
      <c r="U67" s="2">
        <f>338/F67</f>
        <v>10.903225806451612</v>
      </c>
      <c r="V67" s="9">
        <f t="shared" si="7"/>
        <v>21.806451612903224</v>
      </c>
      <c r="W67" s="9">
        <f t="shared" si="8"/>
        <v>250.77419354838707</v>
      </c>
      <c r="X67" s="9">
        <f t="shared" si="9"/>
        <v>43.61290322580645</v>
      </c>
      <c r="Y67" s="9">
        <f t="shared" si="10"/>
        <v>21.806451612903224</v>
      </c>
      <c r="Z67">
        <f t="shared" si="11"/>
        <v>0</v>
      </c>
      <c r="AA67" s="9">
        <f t="shared" si="12"/>
        <v>38.16129032258064</v>
      </c>
    </row>
    <row r="68" spans="1:29" ht="12.75">
      <c r="A68">
        <f t="shared" si="2"/>
        <v>1698</v>
      </c>
      <c r="B68">
        <f t="shared" si="3"/>
        <v>283</v>
      </c>
      <c r="C68" s="2">
        <f aca="true" t="shared" si="14" ref="C68:C76">B68/28.349523</f>
        <v>9.982531275746686</v>
      </c>
      <c r="D68" s="2">
        <f aca="true" t="shared" si="15" ref="D68:D76">C68/16</f>
        <v>0.6239082047341679</v>
      </c>
      <c r="E68" s="11" t="s">
        <v>1836</v>
      </c>
      <c r="F68" s="9">
        <v>30</v>
      </c>
      <c r="G68">
        <v>180</v>
      </c>
      <c r="H68">
        <v>14</v>
      </c>
      <c r="I68">
        <v>3</v>
      </c>
      <c r="J68">
        <v>0</v>
      </c>
      <c r="K68">
        <v>9</v>
      </c>
      <c r="L68">
        <v>1</v>
      </c>
      <c r="M68">
        <v>5</v>
      </c>
      <c r="N68">
        <v>2</v>
      </c>
      <c r="O68" s="32">
        <f t="shared" si="4"/>
        <v>6</v>
      </c>
      <c r="P68" s="9">
        <f aca="true" t="shared" si="16" ref="P68:P76">100*M68/F68</f>
        <v>16.666666666666668</v>
      </c>
      <c r="Q68" s="9">
        <f t="shared" si="13"/>
        <v>70</v>
      </c>
      <c r="R68" s="29">
        <f t="shared" si="5"/>
        <v>15</v>
      </c>
      <c r="S68" s="9">
        <f t="shared" si="6"/>
        <v>30</v>
      </c>
      <c r="T68" s="9">
        <f aca="true" t="shared" si="17" ref="T68:T76">100*N68/F68</f>
        <v>6.666666666666667</v>
      </c>
      <c r="U68" s="2">
        <f>283/F68</f>
        <v>9.433333333333334</v>
      </c>
      <c r="V68" s="9">
        <f t="shared" si="7"/>
        <v>47.16666666666667</v>
      </c>
      <c r="W68" s="9">
        <f t="shared" si="8"/>
        <v>132.06666666666666</v>
      </c>
      <c r="X68" s="9">
        <f t="shared" si="9"/>
        <v>84.9</v>
      </c>
      <c r="Y68" s="9">
        <f t="shared" si="10"/>
        <v>18.866666666666667</v>
      </c>
      <c r="Z68">
        <f t="shared" si="11"/>
        <v>0</v>
      </c>
      <c r="AA68" s="9">
        <f t="shared" si="12"/>
        <v>28.3</v>
      </c>
      <c r="AB68" s="9" t="s">
        <v>528</v>
      </c>
      <c r="AC68" s="9"/>
    </row>
    <row r="69" spans="1:29" ht="12.75">
      <c r="A69">
        <f t="shared" si="2"/>
        <v>1036</v>
      </c>
      <c r="B69">
        <f t="shared" si="3"/>
        <v>140</v>
      </c>
      <c r="C69" s="2">
        <f t="shared" si="14"/>
        <v>4.938354694715675</v>
      </c>
      <c r="D69" s="2">
        <f t="shared" si="15"/>
        <v>0.30864716841972967</v>
      </c>
      <c r="E69" s="11" t="s">
        <v>1939</v>
      </c>
      <c r="F69" s="9">
        <v>30</v>
      </c>
      <c r="G69">
        <v>222</v>
      </c>
      <c r="H69">
        <v>21</v>
      </c>
      <c r="I69">
        <v>2</v>
      </c>
      <c r="J69">
        <v>0</v>
      </c>
      <c r="K69">
        <v>3</v>
      </c>
      <c r="L69">
        <v>1</v>
      </c>
      <c r="M69">
        <v>4</v>
      </c>
      <c r="N69">
        <v>2</v>
      </c>
      <c r="O69" s="32">
        <f t="shared" si="4"/>
        <v>7.4</v>
      </c>
      <c r="P69" s="9">
        <f t="shared" si="16"/>
        <v>13.333333333333334</v>
      </c>
      <c r="Q69" s="29">
        <f t="shared" si="13"/>
        <v>85.13513513513513</v>
      </c>
      <c r="R69" s="16">
        <f t="shared" si="5"/>
        <v>8.108108108108109</v>
      </c>
      <c r="S69" s="9">
        <f t="shared" si="6"/>
        <v>10</v>
      </c>
      <c r="T69" s="9">
        <f t="shared" si="17"/>
        <v>6.666666666666667</v>
      </c>
      <c r="U69" s="2">
        <f>140/F69</f>
        <v>4.666666666666667</v>
      </c>
      <c r="V69" s="9">
        <f t="shared" si="7"/>
        <v>18.666666666666668</v>
      </c>
      <c r="W69" s="9">
        <f t="shared" si="8"/>
        <v>98</v>
      </c>
      <c r="X69" s="9">
        <f t="shared" si="9"/>
        <v>14</v>
      </c>
      <c r="Y69" s="9">
        <f t="shared" si="10"/>
        <v>9.333333333333334</v>
      </c>
      <c r="Z69">
        <f t="shared" si="11"/>
        <v>0</v>
      </c>
      <c r="AA69" s="9">
        <f t="shared" si="12"/>
        <v>9.333333333333334</v>
      </c>
      <c r="AB69" s="9" t="s">
        <v>529</v>
      </c>
      <c r="AC69" s="9"/>
    </row>
    <row r="70" spans="1:29" ht="12.75">
      <c r="A70">
        <f t="shared" si="2"/>
        <v>450</v>
      </c>
      <c r="B70">
        <f t="shared" si="3"/>
        <v>150</v>
      </c>
      <c r="C70" s="2">
        <f t="shared" si="14"/>
        <v>5.291094315766794</v>
      </c>
      <c r="D70" s="2">
        <f t="shared" si="15"/>
        <v>0.33069339473542464</v>
      </c>
      <c r="E70" s="11" t="s">
        <v>1938</v>
      </c>
      <c r="F70" s="9">
        <v>50</v>
      </c>
      <c r="G70">
        <v>150</v>
      </c>
      <c r="H70">
        <v>0</v>
      </c>
      <c r="I70">
        <v>0</v>
      </c>
      <c r="J70">
        <v>0</v>
      </c>
      <c r="K70">
        <v>36</v>
      </c>
      <c r="L70">
        <v>22</v>
      </c>
      <c r="M70">
        <v>2</v>
      </c>
      <c r="N70">
        <v>1</v>
      </c>
      <c r="O70" s="2">
        <f t="shared" si="4"/>
        <v>3</v>
      </c>
      <c r="P70" s="9">
        <f t="shared" si="16"/>
        <v>4</v>
      </c>
      <c r="Q70" s="9">
        <f t="shared" si="13"/>
        <v>0</v>
      </c>
      <c r="R70" s="16">
        <f t="shared" si="5"/>
        <v>0</v>
      </c>
      <c r="S70" s="29">
        <f t="shared" si="6"/>
        <v>72</v>
      </c>
      <c r="T70" s="9">
        <f t="shared" si="17"/>
        <v>2</v>
      </c>
      <c r="U70" s="2">
        <v>3</v>
      </c>
      <c r="V70" s="9">
        <f t="shared" si="7"/>
        <v>6</v>
      </c>
      <c r="W70" s="9">
        <f t="shared" si="8"/>
        <v>0</v>
      </c>
      <c r="X70" s="9">
        <f t="shared" si="9"/>
        <v>108</v>
      </c>
      <c r="Y70" s="9">
        <f t="shared" si="10"/>
        <v>3</v>
      </c>
      <c r="Z70">
        <f t="shared" si="11"/>
        <v>0</v>
      </c>
      <c r="AA70" s="9">
        <f t="shared" si="12"/>
        <v>0</v>
      </c>
      <c r="AB70" s="9"/>
      <c r="AC70" s="9"/>
    </row>
    <row r="71" spans="1:29" ht="12.75">
      <c r="A71" s="9">
        <f t="shared" si="2"/>
        <v>480</v>
      </c>
      <c r="B71">
        <f t="shared" si="3"/>
        <v>120</v>
      </c>
      <c r="C71" s="2">
        <f t="shared" si="14"/>
        <v>4.232875452613436</v>
      </c>
      <c r="D71" s="2">
        <f t="shared" si="15"/>
        <v>0.2645547157883397</v>
      </c>
      <c r="E71" s="11" t="s">
        <v>1930</v>
      </c>
      <c r="F71" s="9">
        <v>60</v>
      </c>
      <c r="G71">
        <v>240</v>
      </c>
      <c r="H71">
        <v>11</v>
      </c>
      <c r="I71" s="6">
        <v>7</v>
      </c>
      <c r="J71">
        <v>0</v>
      </c>
      <c r="K71">
        <v>20</v>
      </c>
      <c r="L71">
        <v>0</v>
      </c>
      <c r="M71">
        <v>20</v>
      </c>
      <c r="N71">
        <v>9</v>
      </c>
      <c r="O71" s="2">
        <f t="shared" si="4"/>
        <v>4</v>
      </c>
      <c r="P71" s="29">
        <f>100*4*M71/G71</f>
        <v>33.333333333333336</v>
      </c>
      <c r="Q71" s="9">
        <f t="shared" si="13"/>
        <v>41.25</v>
      </c>
      <c r="R71" s="29">
        <f t="shared" si="5"/>
        <v>26.25</v>
      </c>
      <c r="S71" s="16">
        <f>100*K71*4/G71</f>
        <v>33.333333333333336</v>
      </c>
      <c r="T71" s="29">
        <f t="shared" si="17"/>
        <v>15</v>
      </c>
      <c r="U71" s="2">
        <v>2</v>
      </c>
      <c r="V71" s="16">
        <f t="shared" si="7"/>
        <v>40</v>
      </c>
      <c r="W71" s="9">
        <f t="shared" si="8"/>
        <v>22</v>
      </c>
      <c r="X71" s="9">
        <f t="shared" si="9"/>
        <v>40</v>
      </c>
      <c r="Y71" s="16">
        <f t="shared" si="10"/>
        <v>18</v>
      </c>
      <c r="Z71">
        <f t="shared" si="11"/>
        <v>0</v>
      </c>
      <c r="AA71" s="2">
        <f aca="true" t="shared" si="18" ref="AA71:AA76">I71*U71</f>
        <v>14</v>
      </c>
      <c r="AB71" s="11" t="s">
        <v>270</v>
      </c>
      <c r="AC71" s="9"/>
    </row>
    <row r="72" spans="1:29" ht="12.75">
      <c r="A72" s="9">
        <f t="shared" si="2"/>
        <v>334.28571428571433</v>
      </c>
      <c r="B72">
        <f t="shared" si="3"/>
        <v>117</v>
      </c>
      <c r="C72" s="2">
        <f t="shared" si="14"/>
        <v>4.127053566298099</v>
      </c>
      <c r="D72" s="2">
        <f t="shared" si="15"/>
        <v>0.2579408478936312</v>
      </c>
      <c r="E72" s="11" t="s">
        <v>1936</v>
      </c>
      <c r="F72" s="9">
        <v>28</v>
      </c>
      <c r="G72">
        <v>80</v>
      </c>
      <c r="H72">
        <v>1</v>
      </c>
      <c r="I72">
        <v>0.5</v>
      </c>
      <c r="J72">
        <v>25</v>
      </c>
      <c r="K72">
        <v>4</v>
      </c>
      <c r="L72">
        <v>3</v>
      </c>
      <c r="M72">
        <v>15</v>
      </c>
      <c r="N72">
        <v>0</v>
      </c>
      <c r="O72" s="2">
        <f t="shared" si="4"/>
        <v>2.857142857142857</v>
      </c>
      <c r="P72" s="29">
        <f t="shared" si="16"/>
        <v>53.57142857142857</v>
      </c>
      <c r="Q72" s="9">
        <f t="shared" si="13"/>
        <v>11.25</v>
      </c>
      <c r="R72" s="16">
        <f t="shared" si="5"/>
        <v>5.625</v>
      </c>
      <c r="S72" s="9">
        <f t="shared" si="6"/>
        <v>14.285714285714286</v>
      </c>
      <c r="T72" s="9">
        <f t="shared" si="17"/>
        <v>0</v>
      </c>
      <c r="U72" s="2">
        <f>117/F72</f>
        <v>4.178571428571429</v>
      </c>
      <c r="V72" s="9">
        <f t="shared" si="7"/>
        <v>62.67857142857143</v>
      </c>
      <c r="W72" s="9">
        <f t="shared" si="8"/>
        <v>4.178571428571429</v>
      </c>
      <c r="X72" s="9">
        <f t="shared" si="9"/>
        <v>16.714285714285715</v>
      </c>
      <c r="Y72" s="9">
        <f t="shared" si="10"/>
        <v>0</v>
      </c>
      <c r="Z72">
        <f t="shared" si="11"/>
        <v>104.46428571428572</v>
      </c>
      <c r="AA72" s="9">
        <f t="shared" si="18"/>
        <v>2.0892857142857144</v>
      </c>
      <c r="AB72" s="9" t="s">
        <v>1345</v>
      </c>
      <c r="AC72" s="9"/>
    </row>
    <row r="73" spans="1:29" ht="12.75">
      <c r="A73" s="9">
        <f>G73*U73</f>
        <v>1128.4848484848485</v>
      </c>
      <c r="B73">
        <f>F73*U73</f>
        <v>196</v>
      </c>
      <c r="C73" s="2">
        <f>B73/28.349523</f>
        <v>6.913696572601944</v>
      </c>
      <c r="D73" s="2">
        <f>C73/16</f>
        <v>0.4321060357876215</v>
      </c>
      <c r="E73" s="11" t="s">
        <v>1819</v>
      </c>
      <c r="F73" s="9">
        <v>33</v>
      </c>
      <c r="G73">
        <v>190</v>
      </c>
      <c r="H73">
        <v>16</v>
      </c>
      <c r="I73" s="6">
        <v>1.5</v>
      </c>
      <c r="J73">
        <v>0</v>
      </c>
      <c r="K73">
        <v>8</v>
      </c>
      <c r="L73">
        <v>0</v>
      </c>
      <c r="M73">
        <v>8</v>
      </c>
      <c r="N73">
        <v>1</v>
      </c>
      <c r="O73" s="10">
        <f>G73/F73</f>
        <v>5.757575757575758</v>
      </c>
      <c r="P73" s="9">
        <f>100*4*M73/G73</f>
        <v>16.842105263157894</v>
      </c>
      <c r="Q73" s="29">
        <f>100*9*H73/G73</f>
        <v>75.78947368421052</v>
      </c>
      <c r="R73" s="16">
        <f>100*(I73*9)/G73</f>
        <v>7.105263157894737</v>
      </c>
      <c r="S73" s="16">
        <f>100*K73*4/G73</f>
        <v>16.842105263157894</v>
      </c>
      <c r="T73" s="16">
        <f>100*N73/F73</f>
        <v>3.0303030303030303</v>
      </c>
      <c r="U73" s="2">
        <f>196/F73</f>
        <v>5.9393939393939394</v>
      </c>
      <c r="V73" s="9">
        <f>U73*M73</f>
        <v>47.515151515151516</v>
      </c>
      <c r="W73" s="9">
        <f>U73*H73</f>
        <v>95.03030303030303</v>
      </c>
      <c r="X73" s="9">
        <f>U73*K73</f>
        <v>47.515151515151516</v>
      </c>
      <c r="Y73" s="9">
        <f>N73*U73</f>
        <v>5.9393939393939394</v>
      </c>
      <c r="Z73" s="9">
        <f>U73*J73</f>
        <v>0</v>
      </c>
      <c r="AA73" s="2">
        <f t="shared" si="18"/>
        <v>8.90909090909091</v>
      </c>
      <c r="AB73" s="9" t="s">
        <v>528</v>
      </c>
      <c r="AC73" s="9"/>
    </row>
    <row r="74" spans="1:29" ht="12.75">
      <c r="A74" s="9">
        <f t="shared" si="2"/>
        <v>1266</v>
      </c>
      <c r="B74">
        <f t="shared" si="3"/>
        <v>211</v>
      </c>
      <c r="C74" s="2">
        <f t="shared" si="14"/>
        <v>7.442806004178624</v>
      </c>
      <c r="D74" s="2">
        <f t="shared" si="15"/>
        <v>0.465175375261164</v>
      </c>
      <c r="E74" s="11" t="s">
        <v>564</v>
      </c>
      <c r="F74" s="9">
        <v>30</v>
      </c>
      <c r="G74">
        <v>180</v>
      </c>
      <c r="H74">
        <v>13</v>
      </c>
      <c r="I74" s="6">
        <v>1.5</v>
      </c>
      <c r="J74">
        <v>0</v>
      </c>
      <c r="K74">
        <v>9</v>
      </c>
      <c r="L74">
        <v>2</v>
      </c>
      <c r="M74">
        <v>6</v>
      </c>
      <c r="N74">
        <v>3</v>
      </c>
      <c r="O74" s="32">
        <f t="shared" si="4"/>
        <v>6</v>
      </c>
      <c r="P74" s="9">
        <f t="shared" si="16"/>
        <v>20</v>
      </c>
      <c r="Q74" s="29">
        <f t="shared" si="13"/>
        <v>65</v>
      </c>
      <c r="R74" s="16">
        <f t="shared" si="5"/>
        <v>7.5</v>
      </c>
      <c r="S74" s="9">
        <f t="shared" si="6"/>
        <v>30</v>
      </c>
      <c r="T74" s="29">
        <f t="shared" si="17"/>
        <v>10</v>
      </c>
      <c r="U74" s="2">
        <f>211/F74</f>
        <v>7.033333333333333</v>
      </c>
      <c r="V74" s="9">
        <f t="shared" si="7"/>
        <v>42.2</v>
      </c>
      <c r="W74" s="9">
        <f t="shared" si="8"/>
        <v>91.43333333333334</v>
      </c>
      <c r="X74" s="9">
        <f t="shared" si="9"/>
        <v>63.3</v>
      </c>
      <c r="Y74" s="9">
        <f t="shared" si="10"/>
        <v>21.1</v>
      </c>
      <c r="Z74" s="9">
        <f t="shared" si="11"/>
        <v>0</v>
      </c>
      <c r="AA74" s="9">
        <f t="shared" si="18"/>
        <v>10.55</v>
      </c>
      <c r="AB74" s="9" t="s">
        <v>570</v>
      </c>
      <c r="AC74" s="9"/>
    </row>
    <row r="75" spans="1:29" ht="12.75">
      <c r="A75" s="9">
        <f t="shared" si="2"/>
        <v>280</v>
      </c>
      <c r="B75">
        <f t="shared" si="3"/>
        <v>78</v>
      </c>
      <c r="C75" s="2">
        <f t="shared" si="14"/>
        <v>2.751369044198733</v>
      </c>
      <c r="D75" s="2">
        <f t="shared" si="15"/>
        <v>0.17196056526242082</v>
      </c>
      <c r="E75" s="11" t="s">
        <v>1933</v>
      </c>
      <c r="F75" s="9">
        <v>78</v>
      </c>
      <c r="G75">
        <v>280</v>
      </c>
      <c r="H75">
        <v>5</v>
      </c>
      <c r="I75" s="6">
        <v>4</v>
      </c>
      <c r="J75">
        <v>10</v>
      </c>
      <c r="K75">
        <v>29</v>
      </c>
      <c r="L75">
        <v>6</v>
      </c>
      <c r="M75">
        <v>30</v>
      </c>
      <c r="N75">
        <v>0</v>
      </c>
      <c r="O75" s="2">
        <f t="shared" si="4"/>
        <v>3.58974358974359</v>
      </c>
      <c r="P75" s="29">
        <f t="shared" si="16"/>
        <v>38.46153846153846</v>
      </c>
      <c r="Q75" s="9">
        <f t="shared" si="13"/>
        <v>16.071428571428573</v>
      </c>
      <c r="R75" s="29">
        <f t="shared" si="5"/>
        <v>12.857142857142858</v>
      </c>
      <c r="S75" s="9">
        <f t="shared" si="6"/>
        <v>37.17948717948718</v>
      </c>
      <c r="T75" s="9">
        <f t="shared" si="17"/>
        <v>0</v>
      </c>
      <c r="U75" s="2">
        <v>1</v>
      </c>
      <c r="V75" s="16">
        <f t="shared" si="7"/>
        <v>30</v>
      </c>
      <c r="W75" s="9">
        <f t="shared" si="8"/>
        <v>5</v>
      </c>
      <c r="X75" s="9">
        <f t="shared" si="9"/>
        <v>29</v>
      </c>
      <c r="Y75" s="9">
        <f t="shared" si="10"/>
        <v>0</v>
      </c>
      <c r="Z75">
        <f t="shared" si="11"/>
        <v>10</v>
      </c>
      <c r="AA75">
        <f t="shared" si="18"/>
        <v>4</v>
      </c>
      <c r="AB75" s="9" t="s">
        <v>1345</v>
      </c>
      <c r="AC75" s="9"/>
    </row>
    <row r="76" spans="1:29" ht="12.75">
      <c r="A76" s="9">
        <f t="shared" si="2"/>
        <v>1405.3333333333335</v>
      </c>
      <c r="B76">
        <f t="shared" si="3"/>
        <v>248.00000000000003</v>
      </c>
      <c r="C76" s="2">
        <f t="shared" si="14"/>
        <v>8.747942602067766</v>
      </c>
      <c r="D76" s="2">
        <f t="shared" si="15"/>
        <v>0.5467464126292354</v>
      </c>
      <c r="E76" s="11" t="s">
        <v>1782</v>
      </c>
      <c r="F76" s="9">
        <v>30</v>
      </c>
      <c r="G76">
        <v>170</v>
      </c>
      <c r="H76">
        <v>15</v>
      </c>
      <c r="I76" s="6">
        <v>1</v>
      </c>
      <c r="J76">
        <v>0</v>
      </c>
      <c r="K76">
        <v>5</v>
      </c>
      <c r="L76">
        <v>1</v>
      </c>
      <c r="M76">
        <v>7</v>
      </c>
      <c r="N76">
        <v>4</v>
      </c>
      <c r="O76" s="2">
        <f t="shared" si="4"/>
        <v>5.666666666666667</v>
      </c>
      <c r="P76" s="9">
        <f t="shared" si="16"/>
        <v>23.333333333333332</v>
      </c>
      <c r="Q76" s="29">
        <f t="shared" si="13"/>
        <v>79.41176470588235</v>
      </c>
      <c r="R76" s="16">
        <f t="shared" si="5"/>
        <v>5.294117647058823</v>
      </c>
      <c r="S76" s="9">
        <f t="shared" si="6"/>
        <v>16.666666666666668</v>
      </c>
      <c r="T76" s="29">
        <f t="shared" si="17"/>
        <v>13.333333333333334</v>
      </c>
      <c r="U76" s="2">
        <f>248/F76</f>
        <v>8.266666666666667</v>
      </c>
      <c r="V76" s="9">
        <f t="shared" si="7"/>
        <v>57.866666666666674</v>
      </c>
      <c r="W76" s="9">
        <f t="shared" si="8"/>
        <v>124.00000000000001</v>
      </c>
      <c r="X76" s="9">
        <f t="shared" si="9"/>
        <v>41.333333333333336</v>
      </c>
      <c r="Y76" s="9">
        <f t="shared" si="10"/>
        <v>33.06666666666667</v>
      </c>
      <c r="Z76">
        <f t="shared" si="11"/>
        <v>0</v>
      </c>
      <c r="AA76" s="9">
        <f t="shared" si="18"/>
        <v>8.266666666666667</v>
      </c>
      <c r="AB76" s="9" t="s">
        <v>527</v>
      </c>
      <c r="AC76" s="9"/>
    </row>
    <row r="77" spans="1:27" ht="12.75">
      <c r="A77" s="9">
        <f>SUM(A64:A76)</f>
        <v>11344.878089652284</v>
      </c>
      <c r="B77">
        <v>0</v>
      </c>
      <c r="C77" s="9">
        <f>SUM(C65:C76)</f>
        <v>71.43840421865298</v>
      </c>
      <c r="D77" s="2">
        <f>C77/16</f>
        <v>4.464900263665811</v>
      </c>
      <c r="E77" s="11" t="s">
        <v>1507</v>
      </c>
      <c r="J77" s="3"/>
      <c r="K77" s="3"/>
      <c r="L77" s="3"/>
      <c r="M77" s="9"/>
      <c r="O77" s="3"/>
      <c r="V77" s="9">
        <f aca="true" t="shared" si="19" ref="V77:AA77">SUM(V65:V76)</f>
        <v>384.90017455662615</v>
      </c>
      <c r="W77" s="9">
        <f t="shared" si="19"/>
        <v>848.4830680072614</v>
      </c>
      <c r="X77" s="9">
        <f t="shared" si="19"/>
        <v>588.375673788577</v>
      </c>
      <c r="Y77" s="9">
        <f t="shared" si="19"/>
        <v>133.11251221896381</v>
      </c>
      <c r="Z77" s="9">
        <f t="shared" si="19"/>
        <v>114.46428571428572</v>
      </c>
      <c r="AA77" s="9">
        <f t="shared" si="19"/>
        <v>129.10966694595726</v>
      </c>
    </row>
    <row r="78" spans="3:28" ht="12.75">
      <c r="C78" s="2"/>
      <c r="D78" s="2"/>
      <c r="F78">
        <v>1.5</v>
      </c>
      <c r="G78" t="s">
        <v>534</v>
      </c>
      <c r="I78" s="34">
        <f>A77/F78</f>
        <v>7563.25205976819</v>
      </c>
      <c r="J78" t="s">
        <v>536</v>
      </c>
      <c r="L78">
        <f>V77/F78</f>
        <v>256.6001163710841</v>
      </c>
      <c r="M78" t="s">
        <v>535</v>
      </c>
      <c r="O78">
        <f>Y77/F78</f>
        <v>88.74167481264254</v>
      </c>
      <c r="P78" t="s">
        <v>554</v>
      </c>
      <c r="R78">
        <f>AA77/F78</f>
        <v>86.07311129730483</v>
      </c>
      <c r="S78" t="s">
        <v>555</v>
      </c>
      <c r="V78" s="35">
        <f>4*V77</f>
        <v>1539.6006982265046</v>
      </c>
      <c r="W78" s="35">
        <f>9*W77</f>
        <v>7636.347612065352</v>
      </c>
      <c r="X78" s="35">
        <f>4*X77</f>
        <v>2353.502695154308</v>
      </c>
      <c r="AA78" s="34">
        <f>9*AA77</f>
        <v>1161.9870025136154</v>
      </c>
      <c r="AB78" t="s">
        <v>697</v>
      </c>
    </row>
    <row r="79" spans="1:28" ht="12.75">
      <c r="A79" t="s">
        <v>233</v>
      </c>
      <c r="B79" s="9">
        <v>20</v>
      </c>
      <c r="C79" s="2">
        <f>B79/28.349523</f>
        <v>0.7054792421022392</v>
      </c>
      <c r="D79" s="2">
        <f>C79/16</f>
        <v>0.04409245263138995</v>
      </c>
      <c r="E79" s="11" t="s">
        <v>314</v>
      </c>
      <c r="V79" s="9">
        <f>V78*100/A77</f>
        <v>13.570887990685256</v>
      </c>
      <c r="W79" s="9">
        <f>100*W78/A77</f>
        <v>67.31097109831882</v>
      </c>
      <c r="X79" s="9">
        <f>X78*100/A77</f>
        <v>20.74506818456647</v>
      </c>
      <c r="Y79" s="2">
        <f>100*Y77/A77</f>
        <v>1.1733269513083298</v>
      </c>
      <c r="AA79">
        <f>100*AA78/A77</f>
        <v>10.242393028211287</v>
      </c>
      <c r="AB79" t="s">
        <v>1786</v>
      </c>
    </row>
    <row r="80" spans="1:11" ht="12.75">
      <c r="A80" t="s">
        <v>234</v>
      </c>
      <c r="B80" s="9">
        <v>17</v>
      </c>
      <c r="C80" s="2">
        <f>B80/28.349523</f>
        <v>0.5996573557869034</v>
      </c>
      <c r="D80" s="2">
        <f>C80/16</f>
        <v>0.03747858473668146</v>
      </c>
      <c r="E80" s="12" t="s">
        <v>1473</v>
      </c>
      <c r="K80" s="33" t="s">
        <v>587</v>
      </c>
    </row>
    <row r="81" spans="1:12" ht="12.75">
      <c r="A81">
        <v>0</v>
      </c>
      <c r="B81" s="9">
        <v>5</v>
      </c>
      <c r="C81" s="2">
        <f>B81/28.349523</f>
        <v>0.1763698105255598</v>
      </c>
      <c r="D81" s="2">
        <f>C81/16</f>
        <v>0.011023113157847488</v>
      </c>
      <c r="E81" s="11" t="s">
        <v>1064</v>
      </c>
      <c r="L81" t="s">
        <v>586</v>
      </c>
    </row>
    <row r="82" spans="1:12" ht="12.75">
      <c r="A82" t="s">
        <v>233</v>
      </c>
      <c r="B82" s="9">
        <v>33</v>
      </c>
      <c r="C82" s="2">
        <f>B82/28.349523</f>
        <v>1.1640407494686946</v>
      </c>
      <c r="D82" s="2">
        <f>C82/16</f>
        <v>0.07275254684179341</v>
      </c>
      <c r="E82" s="11" t="s">
        <v>1479</v>
      </c>
      <c r="L82" t="s">
        <v>1781</v>
      </c>
    </row>
    <row r="83" spans="1:12" ht="12.75">
      <c r="A83">
        <v>0</v>
      </c>
      <c r="B83" s="9">
        <v>66</v>
      </c>
      <c r="C83" s="2">
        <f>B83/28.349523</f>
        <v>2.3280814989373892</v>
      </c>
      <c r="D83" s="2">
        <f>C83/16</f>
        <v>0.14550509368358683</v>
      </c>
      <c r="E83" s="11" t="s">
        <v>944</v>
      </c>
      <c r="L83" t="s">
        <v>1796</v>
      </c>
    </row>
    <row r="84" spans="2:12" ht="12.75">
      <c r="B84" s="9"/>
      <c r="C84" s="2"/>
      <c r="D84" s="2"/>
      <c r="E84" s="11"/>
      <c r="L84" s="27" t="s">
        <v>1789</v>
      </c>
    </row>
    <row r="85" spans="1:5" ht="12.75">
      <c r="A85" t="s">
        <v>233</v>
      </c>
      <c r="B85" s="9">
        <v>33</v>
      </c>
      <c r="C85" t="s">
        <v>239</v>
      </c>
      <c r="E85" s="11" t="s">
        <v>254</v>
      </c>
    </row>
    <row r="87" spans="1:5" ht="12.75">
      <c r="A87" t="s">
        <v>234</v>
      </c>
      <c r="B87" s="16">
        <v>39</v>
      </c>
      <c r="C87" s="3">
        <f aca="true" t="shared" si="20" ref="C87:C95">B87/28.349523</f>
        <v>1.3756845220993665</v>
      </c>
      <c r="D87" s="3">
        <f aca="true" t="shared" si="21" ref="D87:D95">C87/16</f>
        <v>0.08598028263121041</v>
      </c>
      <c r="E87" s="4" t="s">
        <v>1825</v>
      </c>
    </row>
    <row r="88" spans="1:5" ht="12.75">
      <c r="A88">
        <v>0</v>
      </c>
      <c r="B88" s="9">
        <v>8</v>
      </c>
      <c r="C88" s="3">
        <f t="shared" si="20"/>
        <v>0.2821916968408957</v>
      </c>
      <c r="D88" s="3">
        <f t="shared" si="21"/>
        <v>0.01763698105255598</v>
      </c>
      <c r="E88" s="11" t="s">
        <v>1826</v>
      </c>
    </row>
    <row r="89" spans="1:5" ht="12.75">
      <c r="A89" t="s">
        <v>234</v>
      </c>
      <c r="B89">
        <v>28</v>
      </c>
      <c r="C89" s="3">
        <f t="shared" si="20"/>
        <v>0.987670938943135</v>
      </c>
      <c r="D89" s="3">
        <f t="shared" si="21"/>
        <v>0.061729433683945935</v>
      </c>
      <c r="E89" s="13" t="s">
        <v>776</v>
      </c>
    </row>
    <row r="90" spans="1:5" ht="12.75">
      <c r="A90" t="s">
        <v>234</v>
      </c>
      <c r="B90">
        <f>187+37</f>
        <v>224</v>
      </c>
      <c r="C90" s="3">
        <f t="shared" si="20"/>
        <v>7.90136751154508</v>
      </c>
      <c r="D90" s="3">
        <f t="shared" si="21"/>
        <v>0.4938354694715675</v>
      </c>
      <c r="E90" s="13" t="s">
        <v>235</v>
      </c>
    </row>
    <row r="91" spans="1:5" ht="12.75">
      <c r="A91" t="s">
        <v>234</v>
      </c>
      <c r="E91" s="12" t="s">
        <v>236</v>
      </c>
    </row>
    <row r="92" spans="1:5" ht="12.75">
      <c r="A92">
        <v>0</v>
      </c>
      <c r="B92" s="9">
        <v>66</v>
      </c>
      <c r="C92" s="2">
        <f t="shared" si="20"/>
        <v>2.3280814989373892</v>
      </c>
      <c r="D92" s="2">
        <f t="shared" si="21"/>
        <v>0.14550509368358683</v>
      </c>
      <c r="E92" s="12" t="s">
        <v>1816</v>
      </c>
    </row>
    <row r="93" spans="1:6" ht="12.75">
      <c r="A93" t="s">
        <v>233</v>
      </c>
      <c r="B93" s="9">
        <v>26</v>
      </c>
      <c r="C93" s="2">
        <f t="shared" si="20"/>
        <v>0.917123014732911</v>
      </c>
      <c r="D93" s="2">
        <f t="shared" si="21"/>
        <v>0.05732018842080694</v>
      </c>
      <c r="E93" s="11" t="s">
        <v>538</v>
      </c>
      <c r="F93" s="3"/>
    </row>
    <row r="94" spans="1:29" ht="12.75">
      <c r="A94">
        <v>0</v>
      </c>
      <c r="B94" s="9">
        <v>16</v>
      </c>
      <c r="C94" s="2">
        <f t="shared" si="20"/>
        <v>0.5643833936817914</v>
      </c>
      <c r="D94" s="2">
        <f t="shared" si="21"/>
        <v>0.03527396210511196</v>
      </c>
      <c r="E94" s="11" t="s">
        <v>41</v>
      </c>
      <c r="AB94" t="s">
        <v>1732</v>
      </c>
      <c r="AC94" t="s">
        <v>1731</v>
      </c>
    </row>
    <row r="95" spans="2:29" ht="12.75">
      <c r="B95" s="9">
        <f>SUM(B3:B94)</f>
        <v>14265.158388979999</v>
      </c>
      <c r="C95" s="2">
        <f t="shared" si="20"/>
        <v>503.18865643630045</v>
      </c>
      <c r="D95" s="2">
        <f t="shared" si="21"/>
        <v>31.449291027268778</v>
      </c>
      <c r="E95" s="11" t="s">
        <v>338</v>
      </c>
      <c r="G95">
        <f>COUNT(B3:B94)</f>
        <v>73</v>
      </c>
      <c r="H95" t="s">
        <v>38</v>
      </c>
      <c r="S95" t="s">
        <v>2148</v>
      </c>
      <c r="AB95">
        <v>8300</v>
      </c>
      <c r="AC95">
        <v>13</v>
      </c>
    </row>
    <row r="96" spans="19:29" ht="15">
      <c r="S96" s="31" t="s">
        <v>2149</v>
      </c>
      <c r="AB96">
        <v>1000</v>
      </c>
      <c r="AC96">
        <v>2</v>
      </c>
    </row>
    <row r="97" spans="2:29" ht="12.75">
      <c r="B97" s="9"/>
      <c r="C97" s="2"/>
      <c r="D97" s="2"/>
      <c r="E97" s="12" t="s">
        <v>1025</v>
      </c>
      <c r="S97" t="s">
        <v>2150</v>
      </c>
      <c r="AB97">
        <v>222</v>
      </c>
      <c r="AC97">
        <v>14</v>
      </c>
    </row>
    <row r="98" spans="1:29" ht="12.75">
      <c r="A98" t="s">
        <v>234</v>
      </c>
      <c r="B98" s="9">
        <v>50</v>
      </c>
      <c r="C98" s="2">
        <f aca="true" t="shared" si="22" ref="C98:C108">B98/28.349523</f>
        <v>1.763698105255598</v>
      </c>
      <c r="D98" s="2">
        <f aca="true" t="shared" si="23" ref="D98:D108">C98/16</f>
        <v>0.11023113157847488</v>
      </c>
      <c r="E98" s="12" t="s">
        <v>318</v>
      </c>
      <c r="S98" t="s">
        <v>223</v>
      </c>
      <c r="AB98">
        <f>SUM(AB95:AB97)</f>
        <v>9522</v>
      </c>
      <c r="AC98">
        <f>SUM(AC95:AC97)</f>
        <v>29</v>
      </c>
    </row>
    <row r="99" spans="1:29" ht="12.75">
      <c r="A99" t="s">
        <v>234</v>
      </c>
      <c r="B99" s="9">
        <v>324</v>
      </c>
      <c r="C99" s="2">
        <f>B99/28.349523</f>
        <v>11.428763722056276</v>
      </c>
      <c r="D99" s="2">
        <f>C99/16</f>
        <v>0.7142977326285173</v>
      </c>
      <c r="E99" s="12" t="s">
        <v>1170</v>
      </c>
      <c r="S99" t="s">
        <v>549</v>
      </c>
      <c r="AC99" s="9">
        <f>AC98+(AB98*12/5280)</f>
        <v>50.64090909090909</v>
      </c>
    </row>
    <row r="100" spans="1:29" ht="12.75">
      <c r="A100" t="s">
        <v>234</v>
      </c>
      <c r="B100" s="9">
        <v>35</v>
      </c>
      <c r="C100" s="2">
        <f t="shared" si="22"/>
        <v>1.2345886736789187</v>
      </c>
      <c r="D100" s="2">
        <f t="shared" si="23"/>
        <v>0.07716179210493242</v>
      </c>
      <c r="E100" s="12" t="s">
        <v>321</v>
      </c>
      <c r="S100" t="s">
        <v>550</v>
      </c>
      <c r="AC100" s="9">
        <f>500*AC99/4.5</f>
        <v>5626.767676767677</v>
      </c>
    </row>
    <row r="101" spans="1:29" ht="12.75">
      <c r="A101" t="s">
        <v>234</v>
      </c>
      <c r="B101" s="9">
        <v>141</v>
      </c>
      <c r="C101" s="2">
        <f t="shared" si="22"/>
        <v>4.973628656820787</v>
      </c>
      <c r="D101" s="2">
        <f t="shared" si="23"/>
        <v>0.3108517910512992</v>
      </c>
      <c r="E101" s="12" t="s">
        <v>1172</v>
      </c>
      <c r="S101" t="s">
        <v>551</v>
      </c>
      <c r="AC101">
        <f>2.5*2500</f>
        <v>6250</v>
      </c>
    </row>
    <row r="102" spans="1:29" ht="12.75">
      <c r="A102" t="s">
        <v>234</v>
      </c>
      <c r="B102" s="9">
        <v>55</v>
      </c>
      <c r="C102" s="2">
        <f t="shared" si="22"/>
        <v>1.9400679157811578</v>
      </c>
      <c r="D102" s="2">
        <f t="shared" si="23"/>
        <v>0.12125424473632236</v>
      </c>
      <c r="E102" s="12" t="s">
        <v>319</v>
      </c>
      <c r="S102" t="s">
        <v>552</v>
      </c>
      <c r="AC102" s="9">
        <f>AC100+AC101</f>
        <v>11876.767676767677</v>
      </c>
    </row>
    <row r="103" spans="1:29" ht="12.75">
      <c r="A103" t="s">
        <v>234</v>
      </c>
      <c r="B103" s="9">
        <v>1468</v>
      </c>
      <c r="C103" s="2">
        <f t="shared" si="22"/>
        <v>51.782176370304356</v>
      </c>
      <c r="D103" s="2">
        <f t="shared" si="23"/>
        <v>3.2363860231440222</v>
      </c>
      <c r="E103" t="s">
        <v>315</v>
      </c>
      <c r="G103" s="9"/>
      <c r="H103" s="3"/>
      <c r="I103" s="3"/>
      <c r="S103" t="s">
        <v>557</v>
      </c>
      <c r="AC103" s="9">
        <f>2.5*13000/3.5</f>
        <v>9285.714285714286</v>
      </c>
    </row>
    <row r="104" spans="1:29" ht="12.75">
      <c r="A104" t="s">
        <v>234</v>
      </c>
      <c r="B104" s="9">
        <v>218</v>
      </c>
      <c r="C104" s="2">
        <f>B104/28.349523</f>
        <v>7.689723738914408</v>
      </c>
      <c r="D104" s="2">
        <f>C104/16</f>
        <v>0.4806077336821505</v>
      </c>
      <c r="E104" t="s">
        <v>1049</v>
      </c>
      <c r="S104" t="s">
        <v>558</v>
      </c>
      <c r="AC104">
        <v>8552</v>
      </c>
    </row>
    <row r="105" spans="1:5" ht="12.75">
      <c r="A105" t="s">
        <v>239</v>
      </c>
      <c r="B105" s="9">
        <v>6</v>
      </c>
      <c r="C105" s="2">
        <f>B105/28.349523</f>
        <v>0.21164377263067177</v>
      </c>
      <c r="D105" s="2">
        <f>C105/16</f>
        <v>0.013227735789416986</v>
      </c>
      <c r="E105" s="12" t="s">
        <v>1518</v>
      </c>
    </row>
    <row r="106" spans="1:5" ht="12.75">
      <c r="A106" t="s">
        <v>239</v>
      </c>
      <c r="B106" s="9">
        <v>25</v>
      </c>
      <c r="C106" s="2">
        <f>B106/28.349523</f>
        <v>0.881849052627799</v>
      </c>
      <c r="D106" s="2">
        <f t="shared" si="23"/>
        <v>0.05511556578923744</v>
      </c>
      <c r="E106" t="s">
        <v>1508</v>
      </c>
    </row>
    <row r="107" spans="1:5" ht="12.75">
      <c r="A107" t="s">
        <v>239</v>
      </c>
      <c r="B107" s="16">
        <v>53</v>
      </c>
      <c r="C107" s="2">
        <f t="shared" si="22"/>
        <v>1.869519991570934</v>
      </c>
      <c r="D107" s="2">
        <f t="shared" si="23"/>
        <v>0.11684499947318337</v>
      </c>
      <c r="E107" s="11" t="s">
        <v>1069</v>
      </c>
    </row>
    <row r="108" spans="2:5" ht="12.75">
      <c r="B108" s="9">
        <f>SUM(B98:B107)</f>
        <v>2375</v>
      </c>
      <c r="C108" s="2">
        <f t="shared" si="22"/>
        <v>83.77565999964091</v>
      </c>
      <c r="D108" s="2">
        <f t="shared" si="23"/>
        <v>5.235978749977557</v>
      </c>
      <c r="E108" s="11" t="s">
        <v>1509</v>
      </c>
    </row>
    <row r="109" spans="2:5" ht="12.75">
      <c r="B109" s="9">
        <f>B95+B108</f>
        <v>16640.15838898</v>
      </c>
      <c r="C109" s="2">
        <f>B109/28.349523</f>
        <v>586.9643164359413</v>
      </c>
      <c r="D109" s="2">
        <f>C109/16</f>
        <v>36.68526977724633</v>
      </c>
      <c r="E109" s="11" t="s">
        <v>1511</v>
      </c>
    </row>
    <row r="110" spans="2:5" ht="12.75">
      <c r="B110" s="9"/>
      <c r="C110" s="9"/>
      <c r="D110" s="2"/>
      <c r="E110" s="11"/>
    </row>
    <row r="111" spans="2:5" ht="12.75">
      <c r="B111" s="9"/>
      <c r="C111" s="9"/>
      <c r="D111" s="2"/>
      <c r="E111" s="11"/>
    </row>
    <row r="112" spans="2:5" ht="12.75">
      <c r="B112" s="16"/>
      <c r="C112" s="3"/>
      <c r="D112" s="3"/>
      <c r="E112" s="4"/>
    </row>
    <row r="114" spans="2:5" ht="12.75">
      <c r="B114" s="9"/>
      <c r="C114" s="2"/>
      <c r="D114" s="2"/>
      <c r="E114" s="15" t="s">
        <v>1021</v>
      </c>
    </row>
    <row r="115" spans="1:5" ht="12.75">
      <c r="A115" t="s">
        <v>234</v>
      </c>
      <c r="B115" s="9">
        <v>49</v>
      </c>
      <c r="C115" s="2">
        <f aca="true" t="shared" si="24" ref="C115:C125">B115/28.349523</f>
        <v>1.728424143150486</v>
      </c>
      <c r="D115" s="2">
        <f aca="true" t="shared" si="25" ref="D115:D125">C115/16</f>
        <v>0.10802650894690538</v>
      </c>
      <c r="E115" s="12" t="s">
        <v>2143</v>
      </c>
    </row>
    <row r="116" spans="1:6" ht="12.75">
      <c r="A116" t="s">
        <v>234</v>
      </c>
      <c r="B116" s="9">
        <v>335</v>
      </c>
      <c r="C116" s="2">
        <f t="shared" si="24"/>
        <v>11.816777305212506</v>
      </c>
      <c r="D116" s="2">
        <f t="shared" si="25"/>
        <v>0.7385485815757816</v>
      </c>
      <c r="E116" s="19" t="s">
        <v>2109</v>
      </c>
      <c r="F116" s="3"/>
    </row>
    <row r="117" spans="1:12" ht="15">
      <c r="A117" t="s">
        <v>234</v>
      </c>
      <c r="B117" s="9">
        <v>18</v>
      </c>
      <c r="C117" s="2">
        <f t="shared" si="24"/>
        <v>0.6349313178920153</v>
      </c>
      <c r="D117" s="2">
        <f t="shared" si="25"/>
        <v>0.039683207368250956</v>
      </c>
      <c r="E117" s="12" t="s">
        <v>2073</v>
      </c>
      <c r="I117" s="31"/>
      <c r="J117" s="30"/>
      <c r="K117" s="30"/>
      <c r="L117" s="30"/>
    </row>
    <row r="118" spans="1:9" ht="15">
      <c r="A118" t="s">
        <v>234</v>
      </c>
      <c r="B118" s="9">
        <v>35</v>
      </c>
      <c r="C118" s="2">
        <f t="shared" si="24"/>
        <v>1.2345886736789187</v>
      </c>
      <c r="D118" s="2">
        <f t="shared" si="25"/>
        <v>0.07716179210493242</v>
      </c>
      <c r="E118" t="s">
        <v>1980</v>
      </c>
      <c r="I118" s="31"/>
    </row>
    <row r="119" spans="1:9" ht="15">
      <c r="A119" t="s">
        <v>234</v>
      </c>
      <c r="B119" s="9">
        <v>57</v>
      </c>
      <c r="C119" s="2">
        <f t="shared" si="24"/>
        <v>2.010615839991382</v>
      </c>
      <c r="D119" s="2">
        <f t="shared" si="25"/>
        <v>0.12566348999946136</v>
      </c>
      <c r="E119" s="12" t="s">
        <v>1955</v>
      </c>
      <c r="I119" s="31"/>
    </row>
    <row r="120" spans="1:9" ht="15">
      <c r="A120" t="s">
        <v>234</v>
      </c>
      <c r="B120" s="16">
        <v>37</v>
      </c>
      <c r="C120" s="2">
        <f t="shared" si="24"/>
        <v>1.3051365978891425</v>
      </c>
      <c r="D120" s="2">
        <f t="shared" si="25"/>
        <v>0.0815710373680714</v>
      </c>
      <c r="E120" s="4" t="s">
        <v>792</v>
      </c>
      <c r="I120" s="31"/>
    </row>
    <row r="121" spans="1:9" ht="15">
      <c r="A121" t="s">
        <v>234</v>
      </c>
      <c r="B121" s="16">
        <v>15</v>
      </c>
      <c r="C121" s="2">
        <f t="shared" si="24"/>
        <v>0.5291094315766794</v>
      </c>
      <c r="D121" s="2">
        <f t="shared" si="25"/>
        <v>0.033069339473542465</v>
      </c>
      <c r="E121" s="4" t="s">
        <v>2069</v>
      </c>
      <c r="I121" s="31"/>
    </row>
    <row r="122" spans="1:9" ht="15">
      <c r="A122" t="s">
        <v>234</v>
      </c>
      <c r="B122" s="16">
        <v>37</v>
      </c>
      <c r="C122" s="2">
        <f t="shared" si="24"/>
        <v>1.3051365978891425</v>
      </c>
      <c r="D122" s="2">
        <f t="shared" si="25"/>
        <v>0.0815710373680714</v>
      </c>
      <c r="E122" s="4" t="s">
        <v>792</v>
      </c>
      <c r="I122" s="31"/>
    </row>
    <row r="123" spans="1:9" ht="15">
      <c r="A123" t="s">
        <v>234</v>
      </c>
      <c r="B123" s="16">
        <v>15</v>
      </c>
      <c r="C123" s="2">
        <f t="shared" si="24"/>
        <v>0.5291094315766794</v>
      </c>
      <c r="D123" s="2">
        <f t="shared" si="25"/>
        <v>0.033069339473542465</v>
      </c>
      <c r="E123" s="4" t="s">
        <v>2069</v>
      </c>
      <c r="H123" s="3"/>
      <c r="I123" s="31"/>
    </row>
    <row r="124" spans="1:9" ht="15">
      <c r="A124" t="s">
        <v>234</v>
      </c>
      <c r="B124" s="16">
        <v>154</v>
      </c>
      <c r="C124" s="2">
        <f t="shared" si="24"/>
        <v>5.432190164187242</v>
      </c>
      <c r="D124" s="2">
        <f t="shared" si="25"/>
        <v>0.3395118852617026</v>
      </c>
      <c r="E124" s="4" t="s">
        <v>694</v>
      </c>
      <c r="I124" s="31"/>
    </row>
    <row r="125" spans="1:9" ht="15">
      <c r="A125" t="s">
        <v>234</v>
      </c>
      <c r="B125" s="9">
        <v>66</v>
      </c>
      <c r="C125" s="2">
        <f t="shared" si="24"/>
        <v>2.3280814989373892</v>
      </c>
      <c r="D125" s="2">
        <f t="shared" si="25"/>
        <v>0.14550509368358683</v>
      </c>
      <c r="E125" t="s">
        <v>682</v>
      </c>
      <c r="I125" s="31"/>
    </row>
    <row r="126" ht="15">
      <c r="I126" s="31"/>
    </row>
    <row r="127" spans="1:9" ht="15">
      <c r="A127" t="s">
        <v>239</v>
      </c>
      <c r="B127" s="9">
        <v>651</v>
      </c>
      <c r="C127" s="2">
        <f>B127/28.349523</f>
        <v>22.963349330427885</v>
      </c>
      <c r="D127" s="2">
        <f>C127/16</f>
        <v>1.4352093331517428</v>
      </c>
      <c r="E127" s="12" t="s">
        <v>1039</v>
      </c>
      <c r="I127" s="31"/>
    </row>
    <row r="128" spans="1:9" ht="15">
      <c r="A128" t="s">
        <v>234</v>
      </c>
      <c r="B128" s="9">
        <v>20</v>
      </c>
      <c r="C128" s="2">
        <f>B128/28.349523</f>
        <v>0.7054792421022392</v>
      </c>
      <c r="D128" s="2">
        <f>C128/16</f>
        <v>0.04409245263138995</v>
      </c>
      <c r="E128" s="12" t="s">
        <v>1530</v>
      </c>
      <c r="I128" s="31"/>
    </row>
    <row r="129" spans="3:9" ht="15">
      <c r="C129" s="2"/>
      <c r="D129" s="2"/>
      <c r="E129" s="12" t="s">
        <v>1686</v>
      </c>
      <c r="I129" s="31"/>
    </row>
    <row r="130" spans="3:9" ht="15">
      <c r="C130" s="2"/>
      <c r="D130" s="2"/>
      <c r="E130" s="12" t="s">
        <v>1564</v>
      </c>
      <c r="I130" s="31"/>
    </row>
    <row r="131" spans="3:9" ht="15">
      <c r="C131" s="2"/>
      <c r="D131" s="2"/>
      <c r="E131" s="12" t="s">
        <v>1695</v>
      </c>
      <c r="I131" s="31"/>
    </row>
    <row r="132" spans="2:9" ht="15">
      <c r="B132" s="9"/>
      <c r="C132" s="2"/>
      <c r="D132" s="2"/>
      <c r="E132" s="12" t="s">
        <v>1696</v>
      </c>
      <c r="I132" s="31"/>
    </row>
    <row r="133" spans="3:9" ht="15">
      <c r="C133" s="2"/>
      <c r="D133" s="2"/>
      <c r="E133" s="12" t="s">
        <v>1697</v>
      </c>
      <c r="I133" s="31"/>
    </row>
    <row r="134" spans="1:9" ht="15">
      <c r="A134" t="s">
        <v>265</v>
      </c>
      <c r="C134" s="2"/>
      <c r="D134" s="2"/>
      <c r="E134" s="12" t="s">
        <v>266</v>
      </c>
      <c r="I134" s="31"/>
    </row>
    <row r="135" spans="1:9" ht="15">
      <c r="A135" t="s">
        <v>234</v>
      </c>
      <c r="B135" s="9"/>
      <c r="C135" s="2"/>
      <c r="D135" s="2"/>
      <c r="E135" s="12" t="s">
        <v>241</v>
      </c>
      <c r="I135" s="31"/>
    </row>
    <row r="136" spans="2:9" ht="15">
      <c r="B136" s="9"/>
      <c r="C136" s="2"/>
      <c r="D136" s="2"/>
      <c r="E136" s="12" t="s">
        <v>240</v>
      </c>
      <c r="I136" s="31"/>
    </row>
    <row r="137" spans="2:9" ht="15">
      <c r="B137" s="9"/>
      <c r="C137" s="2"/>
      <c r="D137" s="2"/>
      <c r="E137" s="12" t="s">
        <v>1305</v>
      </c>
      <c r="I137" s="31"/>
    </row>
    <row r="138" spans="2:5" ht="12.75">
      <c r="B138" s="9"/>
      <c r="C138" s="2"/>
      <c r="D138" s="2"/>
      <c r="E138" s="12" t="s">
        <v>1999</v>
      </c>
    </row>
    <row r="139" spans="2:9" ht="15">
      <c r="B139" s="9"/>
      <c r="C139" s="2"/>
      <c r="D139" s="2"/>
      <c r="E139" s="12" t="s">
        <v>2000</v>
      </c>
      <c r="I139" s="31"/>
    </row>
    <row r="140" spans="1:9" ht="15">
      <c r="A140" t="s">
        <v>267</v>
      </c>
      <c r="B140" s="9"/>
      <c r="C140" s="2"/>
      <c r="D140" s="2"/>
      <c r="E140" s="12" t="s">
        <v>2001</v>
      </c>
      <c r="I140" s="31"/>
    </row>
    <row r="141" spans="1:9" ht="15">
      <c r="A141" t="s">
        <v>267</v>
      </c>
      <c r="B141" s="9"/>
      <c r="C141" s="2"/>
      <c r="D141" s="2"/>
      <c r="E141" s="12" t="s">
        <v>268</v>
      </c>
      <c r="I141" s="31"/>
    </row>
    <row r="142" spans="1:9" ht="15">
      <c r="A142" t="s">
        <v>267</v>
      </c>
      <c r="B142" s="9"/>
      <c r="C142" s="2"/>
      <c r="D142" s="2"/>
      <c r="E142" s="12" t="s">
        <v>269</v>
      </c>
      <c r="I142" s="31"/>
    </row>
    <row r="143" spans="2:9" ht="15">
      <c r="B143" s="9"/>
      <c r="C143" s="2"/>
      <c r="D143" s="2"/>
      <c r="E143" s="12" t="s">
        <v>1690</v>
      </c>
      <c r="I143" s="31"/>
    </row>
    <row r="144" spans="2:5" ht="12.75">
      <c r="B144" s="9"/>
      <c r="C144" s="2"/>
      <c r="D144" s="2"/>
      <c r="E144" s="12" t="s">
        <v>1691</v>
      </c>
    </row>
    <row r="145" spans="2:5" ht="12.75">
      <c r="B145" s="9"/>
      <c r="C145" s="2"/>
      <c r="D145" s="2"/>
      <c r="E145" s="12" t="s">
        <v>1692</v>
      </c>
    </row>
    <row r="146" spans="2:5" ht="12.75">
      <c r="B146" s="9"/>
      <c r="C146" s="2"/>
      <c r="D146" s="2"/>
      <c r="E146" s="12" t="s">
        <v>1563</v>
      </c>
    </row>
    <row r="147" spans="1:5" ht="12.75">
      <c r="A147" t="s">
        <v>265</v>
      </c>
      <c r="B147" s="9"/>
      <c r="C147" s="2"/>
      <c r="D147" s="2"/>
      <c r="E147" s="12" t="s">
        <v>1698</v>
      </c>
    </row>
    <row r="148" spans="2:5" ht="12.75">
      <c r="B148" s="9"/>
      <c r="C148" s="2"/>
      <c r="D148" s="2"/>
      <c r="E148" s="12" t="s">
        <v>301</v>
      </c>
    </row>
    <row r="149" spans="2:4" ht="12.75">
      <c r="B149" s="9"/>
      <c r="C149" s="2"/>
      <c r="D149" s="2"/>
    </row>
    <row r="150" spans="1:5" ht="12.75">
      <c r="A150" t="s">
        <v>234</v>
      </c>
      <c r="B150" s="9"/>
      <c r="C150" s="2"/>
      <c r="D150" s="2"/>
      <c r="E150" s="12" t="s">
        <v>242</v>
      </c>
    </row>
    <row r="151" spans="2:5" ht="12.75">
      <c r="B151" s="9"/>
      <c r="C151" s="2"/>
      <c r="D151" s="2"/>
      <c r="E151" s="11" t="s">
        <v>260</v>
      </c>
    </row>
    <row r="152" spans="1:5" ht="12.75">
      <c r="A152" t="s">
        <v>265</v>
      </c>
      <c r="B152" s="9"/>
      <c r="C152" s="2"/>
      <c r="D152" s="2"/>
      <c r="E152" s="11" t="s">
        <v>259</v>
      </c>
    </row>
    <row r="153" spans="1:5" ht="12.75">
      <c r="A153" t="s">
        <v>234</v>
      </c>
      <c r="B153" s="9">
        <v>13</v>
      </c>
      <c r="C153" s="2">
        <f>B153/28.349523</f>
        <v>0.4585615073664555</v>
      </c>
      <c r="D153" s="2">
        <f>C153/16</f>
        <v>0.02866009421040347</v>
      </c>
      <c r="E153" s="11" t="s">
        <v>1685</v>
      </c>
    </row>
    <row r="154" spans="1:5" ht="12.75">
      <c r="A154" t="s">
        <v>234</v>
      </c>
      <c r="B154" s="9"/>
      <c r="C154" s="2"/>
      <c r="D154" s="2"/>
      <c r="E154" s="11" t="s">
        <v>1066</v>
      </c>
    </row>
    <row r="155" spans="1:5" ht="12.75">
      <c r="A155" t="s">
        <v>234</v>
      </c>
      <c r="C155" s="2"/>
      <c r="D155" s="2"/>
      <c r="E155" s="11" t="s">
        <v>250</v>
      </c>
    </row>
    <row r="156" spans="1:5" ht="12.75">
      <c r="A156" t="s">
        <v>265</v>
      </c>
      <c r="E156" s="11" t="s">
        <v>252</v>
      </c>
    </row>
    <row r="157" spans="1:5" ht="12.75">
      <c r="A157" t="s">
        <v>234</v>
      </c>
      <c r="E157" s="11" t="s">
        <v>258</v>
      </c>
    </row>
    <row r="158" spans="1:5" ht="12.75">
      <c r="A158" t="s">
        <v>234</v>
      </c>
      <c r="E158" s="11" t="s">
        <v>262</v>
      </c>
    </row>
    <row r="159" spans="1:5" ht="12.75">
      <c r="A159" t="s">
        <v>234</v>
      </c>
      <c r="E159" s="11" t="s">
        <v>263</v>
      </c>
    </row>
    <row r="160" ht="12.75">
      <c r="E160" s="11" t="s">
        <v>264</v>
      </c>
    </row>
    <row r="163" spans="5:28" ht="144.75">
      <c r="E163" s="12" t="s">
        <v>271</v>
      </c>
      <c r="F163" s="28" t="s">
        <v>1932</v>
      </c>
      <c r="G163" s="1" t="s">
        <v>559</v>
      </c>
      <c r="H163" s="1" t="s">
        <v>585</v>
      </c>
      <c r="I163" s="1" t="s">
        <v>584</v>
      </c>
      <c r="J163" s="1" t="s">
        <v>583</v>
      </c>
      <c r="K163" s="1" t="s">
        <v>582</v>
      </c>
      <c r="L163" s="1" t="s">
        <v>581</v>
      </c>
      <c r="M163" s="1" t="s">
        <v>580</v>
      </c>
      <c r="N163" s="1" t="s">
        <v>579</v>
      </c>
      <c r="O163" s="1" t="s">
        <v>560</v>
      </c>
      <c r="P163" s="1" t="s">
        <v>561</v>
      </c>
      <c r="Q163" s="1" t="s">
        <v>1797</v>
      </c>
      <c r="R163" s="1" t="s">
        <v>1785</v>
      </c>
      <c r="S163" s="1" t="s">
        <v>562</v>
      </c>
      <c r="T163" s="1" t="s">
        <v>563</v>
      </c>
      <c r="U163" s="1" t="s">
        <v>572</v>
      </c>
      <c r="V163" s="1" t="s">
        <v>571</v>
      </c>
      <c r="W163" s="1" t="s">
        <v>575</v>
      </c>
      <c r="X163" s="1" t="s">
        <v>576</v>
      </c>
      <c r="Y163" s="1" t="s">
        <v>577</v>
      </c>
      <c r="Z163" s="1" t="s">
        <v>578</v>
      </c>
      <c r="AA163" s="1" t="s">
        <v>553</v>
      </c>
      <c r="AB163" s="1"/>
    </row>
    <row r="164" spans="1:29" ht="12.75">
      <c r="A164" s="9"/>
      <c r="C164" s="2"/>
      <c r="D164" s="2"/>
      <c r="E164" s="11"/>
      <c r="F164" s="9"/>
      <c r="G164" s="6"/>
      <c r="I164" s="6"/>
      <c r="O164" s="2"/>
      <c r="P164" s="9"/>
      <c r="Q164" s="9"/>
      <c r="R164" s="29"/>
      <c r="S164" s="16"/>
      <c r="T164" s="9"/>
      <c r="U164" s="2"/>
      <c r="V164" s="9"/>
      <c r="W164" s="9"/>
      <c r="X164" s="9"/>
      <c r="Y164" s="9"/>
      <c r="AA164" s="2"/>
      <c r="AC164" s="9"/>
    </row>
    <row r="165" spans="2:29" ht="12.75">
      <c r="B165" s="9"/>
      <c r="C165" s="2"/>
      <c r="D165" s="2"/>
      <c r="E165" s="11"/>
      <c r="F165" s="9"/>
      <c r="O165" s="2"/>
      <c r="P165" s="9"/>
      <c r="Q165" s="9"/>
      <c r="R165" s="16"/>
      <c r="S165" s="29"/>
      <c r="T165" s="9"/>
      <c r="U165" s="2"/>
      <c r="V165" s="9"/>
      <c r="W165" s="9"/>
      <c r="X165" s="9"/>
      <c r="Y165" s="9"/>
      <c r="AA165" s="9"/>
      <c r="AB165" s="9"/>
      <c r="AC165" s="9"/>
    </row>
    <row r="166" spans="2:29" ht="12.75">
      <c r="B166" s="9"/>
      <c r="C166" s="2"/>
      <c r="D166" s="2"/>
      <c r="E166" s="11"/>
      <c r="F166" s="9"/>
      <c r="O166" s="2"/>
      <c r="P166" s="9"/>
      <c r="Q166" s="9"/>
      <c r="R166" s="16"/>
      <c r="S166" s="9"/>
      <c r="T166" s="9"/>
      <c r="U166" s="2"/>
      <c r="V166" s="9"/>
      <c r="W166" s="9"/>
      <c r="X166" s="9"/>
      <c r="Y166" s="9"/>
      <c r="AA166" s="9"/>
      <c r="AB166" s="9"/>
      <c r="AC166" s="9"/>
    </row>
    <row r="167" spans="1:27" ht="12.75">
      <c r="A167" s="9">
        <f>G167*U167</f>
        <v>2221.935483870968</v>
      </c>
      <c r="B167" s="12">
        <f>F167*U167</f>
        <v>287</v>
      </c>
      <c r="C167" s="2">
        <f>B167/28.349523</f>
        <v>10.123627124167133</v>
      </c>
      <c r="D167" s="2">
        <f>C167/16</f>
        <v>0.6327266952604458</v>
      </c>
      <c r="E167" s="11" t="s">
        <v>539</v>
      </c>
      <c r="F167" s="9">
        <v>31</v>
      </c>
      <c r="G167">
        <v>240</v>
      </c>
      <c r="H167">
        <v>23</v>
      </c>
      <c r="I167">
        <v>3.5</v>
      </c>
      <c r="J167">
        <v>0</v>
      </c>
      <c r="K167">
        <v>4</v>
      </c>
      <c r="L167">
        <v>1</v>
      </c>
      <c r="M167">
        <v>2</v>
      </c>
      <c r="N167">
        <v>2</v>
      </c>
      <c r="O167" s="32">
        <f>G167/F167</f>
        <v>7.741935483870968</v>
      </c>
      <c r="P167" s="9">
        <f>100*M167/F167</f>
        <v>6.451612903225806</v>
      </c>
      <c r="Q167" s="29">
        <f>100*9*H167/G167</f>
        <v>86.25</v>
      </c>
      <c r="R167" s="29">
        <f>100*(I167*9)/G167</f>
        <v>13.125</v>
      </c>
      <c r="S167" s="9">
        <f>100*K167/F167</f>
        <v>12.903225806451612</v>
      </c>
      <c r="T167" s="9">
        <f>100*N167/F167</f>
        <v>6.451612903225806</v>
      </c>
      <c r="U167" s="2">
        <f>287/F167</f>
        <v>9.258064516129032</v>
      </c>
      <c r="V167" s="9">
        <f aca="true" t="shared" si="26" ref="V167:V172">U167*M167</f>
        <v>18.516129032258064</v>
      </c>
      <c r="W167" s="9">
        <f>U167*H167</f>
        <v>212.93548387096774</v>
      </c>
      <c r="X167" s="9">
        <f>U167*K167</f>
        <v>37.03225806451613</v>
      </c>
      <c r="Y167" s="9">
        <f>N167*U167</f>
        <v>18.516129032258064</v>
      </c>
      <c r="Z167">
        <f>U167*J167</f>
        <v>0</v>
      </c>
      <c r="AA167" s="9">
        <f>U167*I167</f>
        <v>32.403225806451616</v>
      </c>
    </row>
    <row r="168" spans="1:29" ht="12.75">
      <c r="A168">
        <f>G168*U168</f>
        <v>1128</v>
      </c>
      <c r="B168">
        <f>F168*U168</f>
        <v>188</v>
      </c>
      <c r="C168" s="2">
        <f aca="true" t="shared" si="27" ref="C168:C176">B168/28.349523</f>
        <v>6.631504875761049</v>
      </c>
      <c r="D168" s="2">
        <f aca="true" t="shared" si="28" ref="D168:D176">C168/16</f>
        <v>0.41446905473506557</v>
      </c>
      <c r="E168" s="11" t="s">
        <v>1836</v>
      </c>
      <c r="F168" s="9">
        <v>30</v>
      </c>
      <c r="G168">
        <v>180</v>
      </c>
      <c r="H168">
        <v>14</v>
      </c>
      <c r="I168">
        <v>3</v>
      </c>
      <c r="J168">
        <v>0</v>
      </c>
      <c r="K168">
        <v>9</v>
      </c>
      <c r="L168">
        <v>1</v>
      </c>
      <c r="M168">
        <v>5</v>
      </c>
      <c r="N168">
        <v>2</v>
      </c>
      <c r="O168" s="32">
        <f>G168/F168</f>
        <v>6</v>
      </c>
      <c r="P168" s="9">
        <f>100*M168/F168</f>
        <v>16.666666666666668</v>
      </c>
      <c r="Q168" s="9">
        <f>100*9*H168/G168</f>
        <v>70</v>
      </c>
      <c r="R168" s="29">
        <f>100*(I168*9)/G168</f>
        <v>15</v>
      </c>
      <c r="S168" s="9">
        <f>100*K168/F168</f>
        <v>30</v>
      </c>
      <c r="T168" s="9">
        <f>100*N168/F168</f>
        <v>6.666666666666667</v>
      </c>
      <c r="U168" s="2">
        <f>188/F168</f>
        <v>6.266666666666667</v>
      </c>
      <c r="V168" s="9">
        <f t="shared" si="26"/>
        <v>31.333333333333332</v>
      </c>
      <c r="W168" s="9">
        <f>U168*H168</f>
        <v>87.73333333333333</v>
      </c>
      <c r="X168" s="9">
        <f>U168*K168</f>
        <v>56.4</v>
      </c>
      <c r="Y168" s="9">
        <f>N168*U168</f>
        <v>12.533333333333333</v>
      </c>
      <c r="Z168">
        <f>U168*J168</f>
        <v>0</v>
      </c>
      <c r="AA168" s="9">
        <f>U168*I168</f>
        <v>18.8</v>
      </c>
      <c r="AB168" s="9" t="s">
        <v>528</v>
      </c>
      <c r="AC168" s="9"/>
    </row>
    <row r="169" spans="1:29" ht="12.75">
      <c r="A169">
        <f>G169*U169</f>
        <v>414.40000000000003</v>
      </c>
      <c r="B169">
        <f>F169*U169</f>
        <v>56</v>
      </c>
      <c r="C169" s="2">
        <f t="shared" si="27"/>
        <v>1.97534187788627</v>
      </c>
      <c r="D169" s="2">
        <f t="shared" si="28"/>
        <v>0.12345886736789187</v>
      </c>
      <c r="E169" s="11" t="s">
        <v>1939</v>
      </c>
      <c r="F169" s="9">
        <v>30</v>
      </c>
      <c r="G169">
        <v>222</v>
      </c>
      <c r="H169">
        <v>21</v>
      </c>
      <c r="I169">
        <v>2</v>
      </c>
      <c r="J169">
        <v>0</v>
      </c>
      <c r="K169">
        <v>3</v>
      </c>
      <c r="L169">
        <v>1</v>
      </c>
      <c r="M169">
        <v>4</v>
      </c>
      <c r="N169">
        <v>2</v>
      </c>
      <c r="O169" s="32">
        <f>G169/F169</f>
        <v>7.4</v>
      </c>
      <c r="P169" s="9">
        <f>100*M169/F169</f>
        <v>13.333333333333334</v>
      </c>
      <c r="Q169" s="29">
        <f>100*9*H169/G169</f>
        <v>85.13513513513513</v>
      </c>
      <c r="R169" s="16">
        <f>100*(I169*9)/G169</f>
        <v>8.108108108108109</v>
      </c>
      <c r="S169" s="9">
        <f>100*K169/F169</f>
        <v>10</v>
      </c>
      <c r="T169" s="9">
        <f>100*N169/F169</f>
        <v>6.666666666666667</v>
      </c>
      <c r="U169" s="2">
        <f>56/F169</f>
        <v>1.8666666666666667</v>
      </c>
      <c r="V169" s="9">
        <f t="shared" si="26"/>
        <v>7.466666666666667</v>
      </c>
      <c r="W169" s="9">
        <f>U169*H169</f>
        <v>39.2</v>
      </c>
      <c r="X169" s="9">
        <f>U169*K169</f>
        <v>5.6</v>
      </c>
      <c r="Y169" s="9">
        <f>N169*U169</f>
        <v>3.7333333333333334</v>
      </c>
      <c r="Z169">
        <f>U169*J169</f>
        <v>0</v>
      </c>
      <c r="AA169" s="9">
        <f>U169*I169</f>
        <v>3.7333333333333334</v>
      </c>
      <c r="AB169" s="9" t="s">
        <v>529</v>
      </c>
      <c r="AC169" s="9"/>
    </row>
    <row r="170" spans="3:29" ht="12.75">
      <c r="C170" s="2"/>
      <c r="D170" s="2"/>
      <c r="E170" s="11"/>
      <c r="F170" s="9"/>
      <c r="O170" s="2"/>
      <c r="P170" s="9"/>
      <c r="Q170" s="9"/>
      <c r="R170" s="16"/>
      <c r="S170" s="29"/>
      <c r="T170" s="9"/>
      <c r="U170" s="2"/>
      <c r="V170" s="9"/>
      <c r="W170" s="9"/>
      <c r="X170" s="9"/>
      <c r="Y170" s="9"/>
      <c r="AA170" s="9"/>
      <c r="AB170" s="9"/>
      <c r="AC170" s="9"/>
    </row>
    <row r="171" spans="1:29" ht="12.75">
      <c r="A171" s="9"/>
      <c r="C171" s="2"/>
      <c r="D171" s="2"/>
      <c r="E171" s="11"/>
      <c r="F171" s="9"/>
      <c r="I171" s="6"/>
      <c r="O171" s="2"/>
      <c r="P171" s="29"/>
      <c r="Q171" s="9"/>
      <c r="R171" s="29"/>
      <c r="S171" s="16"/>
      <c r="T171" s="29"/>
      <c r="U171" s="2"/>
      <c r="V171" s="16"/>
      <c r="W171" s="9"/>
      <c r="X171" s="9"/>
      <c r="Y171" s="16"/>
      <c r="AA171" s="2"/>
      <c r="AB171" s="11"/>
      <c r="AC171" s="9"/>
    </row>
    <row r="172" spans="1:29" ht="12.75">
      <c r="A172" s="9">
        <f>G172*U172</f>
        <v>197.14285714285717</v>
      </c>
      <c r="B172">
        <f>F172*U172</f>
        <v>69</v>
      </c>
      <c r="C172" s="2">
        <f t="shared" si="27"/>
        <v>2.433903385252725</v>
      </c>
      <c r="D172" s="2">
        <f t="shared" si="28"/>
        <v>0.15211896157829533</v>
      </c>
      <c r="E172" s="11" t="s">
        <v>1936</v>
      </c>
      <c r="F172" s="9">
        <v>28</v>
      </c>
      <c r="G172">
        <v>80</v>
      </c>
      <c r="H172">
        <v>1</v>
      </c>
      <c r="I172">
        <v>0.5</v>
      </c>
      <c r="J172">
        <v>25</v>
      </c>
      <c r="K172">
        <v>4</v>
      </c>
      <c r="L172">
        <v>3</v>
      </c>
      <c r="M172">
        <v>15</v>
      </c>
      <c r="N172">
        <v>0</v>
      </c>
      <c r="O172" s="2">
        <f>G172/F172</f>
        <v>2.857142857142857</v>
      </c>
      <c r="P172" s="29">
        <f>100*M172/F172</f>
        <v>53.57142857142857</v>
      </c>
      <c r="Q172" s="9">
        <f>100*9*H172/G172</f>
        <v>11.25</v>
      </c>
      <c r="R172" s="16">
        <f>100*(I172*9)/G172</f>
        <v>5.625</v>
      </c>
      <c r="S172" s="9">
        <f>100*K172/F172</f>
        <v>14.285714285714286</v>
      </c>
      <c r="T172" s="9">
        <f>100*N172/F172</f>
        <v>0</v>
      </c>
      <c r="U172" s="2">
        <f>69/F172</f>
        <v>2.4642857142857144</v>
      </c>
      <c r="V172" s="9">
        <f t="shared" si="26"/>
        <v>36.964285714285715</v>
      </c>
      <c r="W172" s="9">
        <f>U172*H172</f>
        <v>2.4642857142857144</v>
      </c>
      <c r="X172" s="9">
        <f>U172*K172</f>
        <v>9.857142857142858</v>
      </c>
      <c r="Y172" s="9">
        <f>N172*U172</f>
        <v>0</v>
      </c>
      <c r="Z172">
        <f>U172*J172</f>
        <v>61.60714285714286</v>
      </c>
      <c r="AA172" s="9">
        <f>I172*U172</f>
        <v>1.2321428571428572</v>
      </c>
      <c r="AB172" s="9" t="s">
        <v>1345</v>
      </c>
      <c r="AC172" s="9"/>
    </row>
    <row r="173" spans="1:29" ht="12.75">
      <c r="A173" s="9">
        <f>G173*U173</f>
        <v>731.2121212121212</v>
      </c>
      <c r="B173">
        <f>F173*U173</f>
        <v>127</v>
      </c>
      <c r="C173" s="2">
        <f>B173/28.349523</f>
        <v>4.479793187349219</v>
      </c>
      <c r="D173" s="2">
        <f>C173/16</f>
        <v>0.27998707420932617</v>
      </c>
      <c r="E173" s="11" t="s">
        <v>1819</v>
      </c>
      <c r="F173" s="9">
        <v>33</v>
      </c>
      <c r="G173">
        <v>190</v>
      </c>
      <c r="H173">
        <v>16</v>
      </c>
      <c r="I173" s="6">
        <v>1.5</v>
      </c>
      <c r="J173">
        <v>0</v>
      </c>
      <c r="K173">
        <v>8</v>
      </c>
      <c r="L173">
        <v>0</v>
      </c>
      <c r="M173">
        <v>8</v>
      </c>
      <c r="N173">
        <v>1</v>
      </c>
      <c r="O173" s="10">
        <f>G173/F173</f>
        <v>5.757575757575758</v>
      </c>
      <c r="P173" s="9">
        <f>100*4*M173/G173</f>
        <v>16.842105263157894</v>
      </c>
      <c r="Q173" s="29">
        <f>100*9*H173/G173</f>
        <v>75.78947368421052</v>
      </c>
      <c r="R173" s="16">
        <f>100*(I173*9)/G173</f>
        <v>7.105263157894737</v>
      </c>
      <c r="S173" s="16">
        <f>100*K173*4/G173</f>
        <v>16.842105263157894</v>
      </c>
      <c r="T173" s="16">
        <f>100*N173/F173</f>
        <v>3.0303030303030303</v>
      </c>
      <c r="U173" s="2">
        <f>127/F173</f>
        <v>3.8484848484848486</v>
      </c>
      <c r="V173" s="9">
        <f>U173*M173</f>
        <v>30.78787878787879</v>
      </c>
      <c r="W173" s="9">
        <f>U173*H173</f>
        <v>61.57575757575758</v>
      </c>
      <c r="X173" s="9">
        <f>U173*K173</f>
        <v>30.78787878787879</v>
      </c>
      <c r="Y173" s="9">
        <f>N173*U173</f>
        <v>3.8484848484848486</v>
      </c>
      <c r="Z173" s="9">
        <f>U173*J173</f>
        <v>0</v>
      </c>
      <c r="AA173" s="2">
        <f>I173*U173</f>
        <v>5.772727272727273</v>
      </c>
      <c r="AB173" s="9" t="s">
        <v>528</v>
      </c>
      <c r="AC173" s="9"/>
    </row>
    <row r="174" spans="1:29" ht="12.75">
      <c r="A174" s="9">
        <f>G174*U174</f>
        <v>996</v>
      </c>
      <c r="B174">
        <f>F174*U174</f>
        <v>166</v>
      </c>
      <c r="C174" s="2">
        <f t="shared" si="27"/>
        <v>5.855477709448586</v>
      </c>
      <c r="D174" s="2">
        <f t="shared" si="28"/>
        <v>0.3659673568405366</v>
      </c>
      <c r="E174" s="11" t="s">
        <v>564</v>
      </c>
      <c r="F174" s="9">
        <v>30</v>
      </c>
      <c r="G174">
        <v>180</v>
      </c>
      <c r="H174">
        <v>13</v>
      </c>
      <c r="I174" s="6">
        <v>1.5</v>
      </c>
      <c r="J174">
        <v>0</v>
      </c>
      <c r="K174">
        <v>9</v>
      </c>
      <c r="L174">
        <v>2</v>
      </c>
      <c r="M174">
        <v>6</v>
      </c>
      <c r="N174">
        <v>3</v>
      </c>
      <c r="O174" s="32">
        <f>G174/F174</f>
        <v>6</v>
      </c>
      <c r="P174" s="9">
        <f>100*M174/F174</f>
        <v>20</v>
      </c>
      <c r="Q174" s="29">
        <f>100*9*H174/G174</f>
        <v>65</v>
      </c>
      <c r="R174" s="16">
        <f>100*(I174*9)/G174</f>
        <v>7.5</v>
      </c>
      <c r="S174" s="9">
        <f>100*K174/F174</f>
        <v>30</v>
      </c>
      <c r="T174" s="29">
        <f>100*N174/F174</f>
        <v>10</v>
      </c>
      <c r="U174" s="2">
        <f>166/F174</f>
        <v>5.533333333333333</v>
      </c>
      <c r="V174" s="9">
        <f>U174*M174</f>
        <v>33.2</v>
      </c>
      <c r="W174" s="9">
        <f>U174*H174</f>
        <v>71.93333333333334</v>
      </c>
      <c r="X174" s="9">
        <f>U174*K174</f>
        <v>49.8</v>
      </c>
      <c r="Y174" s="9">
        <f>N174*U174</f>
        <v>16.6</v>
      </c>
      <c r="Z174" s="9">
        <f>U174*J174</f>
        <v>0</v>
      </c>
      <c r="AA174" s="9">
        <f>I174*U174</f>
        <v>8.3</v>
      </c>
      <c r="AB174" s="9" t="s">
        <v>570</v>
      </c>
      <c r="AC174" s="9"/>
    </row>
    <row r="175" spans="1:29" ht="12.75">
      <c r="A175" s="9"/>
      <c r="C175" s="2"/>
      <c r="D175" s="2"/>
      <c r="E175" s="11"/>
      <c r="F175" s="9"/>
      <c r="I175" s="6"/>
      <c r="O175" s="2"/>
      <c r="P175" s="29"/>
      <c r="Q175" s="9"/>
      <c r="R175" s="29"/>
      <c r="S175" s="9"/>
      <c r="T175" s="9"/>
      <c r="U175" s="2"/>
      <c r="V175" s="16"/>
      <c r="W175" s="9"/>
      <c r="X175" s="9"/>
      <c r="Y175" s="9"/>
      <c r="AB175" s="9"/>
      <c r="AC175" s="9"/>
    </row>
    <row r="176" spans="1:29" ht="12.75">
      <c r="A176" s="9">
        <f>G176*U176</f>
        <v>1411.0000000000002</v>
      </c>
      <c r="B176">
        <f>F176*U176</f>
        <v>249.00000000000003</v>
      </c>
      <c r="C176" s="2">
        <f t="shared" si="27"/>
        <v>8.783216564172879</v>
      </c>
      <c r="D176" s="2">
        <f t="shared" si="28"/>
        <v>0.5489510352608049</v>
      </c>
      <c r="E176" s="11" t="s">
        <v>1782</v>
      </c>
      <c r="F176" s="9">
        <v>30</v>
      </c>
      <c r="G176">
        <v>170</v>
      </c>
      <c r="H176">
        <v>15</v>
      </c>
      <c r="I176" s="6">
        <v>1</v>
      </c>
      <c r="J176">
        <v>0</v>
      </c>
      <c r="K176">
        <v>5</v>
      </c>
      <c r="L176">
        <v>1</v>
      </c>
      <c r="M176">
        <v>7</v>
      </c>
      <c r="N176">
        <v>4</v>
      </c>
      <c r="O176" s="2">
        <f>G176/F176</f>
        <v>5.666666666666667</v>
      </c>
      <c r="P176" s="9">
        <f>100*M176/F176</f>
        <v>23.333333333333332</v>
      </c>
      <c r="Q176" s="29">
        <f>100*9*H176/G176</f>
        <v>79.41176470588235</v>
      </c>
      <c r="R176" s="16">
        <f>100*(I176*9)/G176</f>
        <v>5.294117647058823</v>
      </c>
      <c r="S176" s="9">
        <f>100*K176/F176</f>
        <v>16.666666666666668</v>
      </c>
      <c r="T176" s="29">
        <f>100*N176/F176</f>
        <v>13.333333333333334</v>
      </c>
      <c r="U176" s="2">
        <f>249/F176</f>
        <v>8.3</v>
      </c>
      <c r="V176" s="9">
        <f>U176*M176</f>
        <v>58.10000000000001</v>
      </c>
      <c r="W176" s="9">
        <f>U176*H176</f>
        <v>124.50000000000001</v>
      </c>
      <c r="X176" s="9">
        <f>U176*K176</f>
        <v>41.5</v>
      </c>
      <c r="Y176" s="9">
        <f>N176*U176</f>
        <v>33.2</v>
      </c>
      <c r="Z176">
        <f>U176*J176</f>
        <v>0</v>
      </c>
      <c r="AA176" s="9">
        <f>I176*U176</f>
        <v>8.3</v>
      </c>
      <c r="AB176" s="9" t="s">
        <v>527</v>
      </c>
      <c r="AC176" s="9"/>
    </row>
    <row r="177" spans="1:27" ht="12.75">
      <c r="A177" s="9">
        <f>SUM(A164:A176)</f>
        <v>7099.690462225946</v>
      </c>
      <c r="B177">
        <v>0</v>
      </c>
      <c r="C177" s="9">
        <f>SUM(C165:C176)</f>
        <v>40.282864724037864</v>
      </c>
      <c r="D177" s="2">
        <f>C177/16</f>
        <v>2.5176790452523665</v>
      </c>
      <c r="E177" s="11" t="s">
        <v>272</v>
      </c>
      <c r="J177" s="3"/>
      <c r="K177" s="3"/>
      <c r="L177" s="3"/>
      <c r="M177" s="9"/>
      <c r="O177" s="3"/>
      <c r="V177" s="9">
        <f aca="true" t="shared" si="29" ref="V177:AA177">SUM(V165:V176)</f>
        <v>216.3682935344226</v>
      </c>
      <c r="W177" s="9">
        <f t="shared" si="29"/>
        <v>600.3421938276778</v>
      </c>
      <c r="X177" s="9">
        <f t="shared" si="29"/>
        <v>230.97727970953775</v>
      </c>
      <c r="Y177" s="9">
        <f t="shared" si="29"/>
        <v>88.43128054740959</v>
      </c>
      <c r="Z177" s="9">
        <f t="shared" si="29"/>
        <v>61.60714285714286</v>
      </c>
      <c r="AA177" s="9">
        <f t="shared" si="29"/>
        <v>78.54142926965507</v>
      </c>
    </row>
    <row r="178" spans="1:5" ht="12.75">
      <c r="A178">
        <v>150</v>
      </c>
      <c r="B178" s="9"/>
      <c r="E178" s="11" t="s">
        <v>274</v>
      </c>
    </row>
    <row r="179" spans="1:5" ht="12.75">
      <c r="A179" s="9">
        <f>A77-A177+A178</f>
        <v>4395.187627426338</v>
      </c>
      <c r="B179" s="9"/>
      <c r="E179" s="12" t="s">
        <v>273</v>
      </c>
    </row>
    <row r="180" spans="1:5" ht="12.75">
      <c r="A180">
        <f>A179/1.5</f>
        <v>2930.125084950892</v>
      </c>
      <c r="E180" s="12" t="s">
        <v>1323</v>
      </c>
    </row>
    <row r="183" ht="12.75">
      <c r="E183" s="13"/>
    </row>
    <row r="184" spans="1:5" ht="12.75">
      <c r="A184" s="9" t="s">
        <v>219</v>
      </c>
      <c r="E184"/>
    </row>
    <row r="185" spans="1:2" ht="12.75">
      <c r="A185" t="s">
        <v>275</v>
      </c>
      <c r="B185" t="s">
        <v>276</v>
      </c>
    </row>
    <row r="186" spans="1:7" ht="12.75">
      <c r="A186" s="9" t="s">
        <v>277</v>
      </c>
      <c r="B186" s="9" t="s">
        <v>278</v>
      </c>
      <c r="C186" s="2"/>
      <c r="D186" s="2"/>
      <c r="E186" s="15"/>
      <c r="G186" s="3"/>
    </row>
    <row r="187" spans="2:4" ht="12.75">
      <c r="B187" s="9"/>
      <c r="C187" s="2"/>
      <c r="D187" s="2"/>
    </row>
    <row r="188" spans="1:15" ht="12.75">
      <c r="A188" t="s">
        <v>279</v>
      </c>
      <c r="B188" s="9" t="s">
        <v>280</v>
      </c>
      <c r="C188" s="2" t="s">
        <v>281</v>
      </c>
      <c r="D188" s="2" t="s">
        <v>282</v>
      </c>
      <c r="E188" s="12" t="s">
        <v>283</v>
      </c>
      <c r="F188" t="s">
        <v>285</v>
      </c>
      <c r="G188" t="s">
        <v>286</v>
      </c>
      <c r="H188" t="s">
        <v>287</v>
      </c>
      <c r="I188" t="s">
        <v>288</v>
      </c>
      <c r="J188" t="s">
        <v>289</v>
      </c>
      <c r="K188" t="s">
        <v>290</v>
      </c>
      <c r="L188" t="s">
        <v>291</v>
      </c>
      <c r="M188" t="s">
        <v>292</v>
      </c>
      <c r="N188" t="s">
        <v>293</v>
      </c>
      <c r="O188" t="s">
        <v>294</v>
      </c>
    </row>
    <row r="189" spans="2:5" ht="17.25" customHeight="1">
      <c r="B189" s="9"/>
      <c r="C189" s="2"/>
      <c r="D189" s="2"/>
      <c r="E189" s="14"/>
    </row>
    <row r="190" spans="1:11" ht="12.75">
      <c r="A190" t="s">
        <v>295</v>
      </c>
      <c r="B190" s="9" t="s">
        <v>296</v>
      </c>
      <c r="C190" s="2" t="s">
        <v>163</v>
      </c>
      <c r="D190" s="2" t="s">
        <v>164</v>
      </c>
      <c r="E190" s="11" t="s">
        <v>165</v>
      </c>
      <c r="F190" t="s">
        <v>166</v>
      </c>
      <c r="I190" t="s">
        <v>167</v>
      </c>
      <c r="J190" t="s">
        <v>168</v>
      </c>
      <c r="K190" t="s">
        <v>169</v>
      </c>
    </row>
    <row r="191" spans="1:11" ht="12.75" customHeight="1">
      <c r="A191" t="s">
        <v>295</v>
      </c>
      <c r="B191" s="9" t="s">
        <v>170</v>
      </c>
      <c r="C191" s="2" t="s">
        <v>171</v>
      </c>
      <c r="D191" s="2" t="s">
        <v>164</v>
      </c>
      <c r="E191" s="11" t="s">
        <v>172</v>
      </c>
      <c r="F191" t="s">
        <v>173</v>
      </c>
      <c r="I191" t="s">
        <v>167</v>
      </c>
      <c r="J191" t="s">
        <v>174</v>
      </c>
      <c r="K191" t="s">
        <v>175</v>
      </c>
    </row>
    <row r="192" spans="1:11" ht="12.75" customHeight="1">
      <c r="A192" t="s">
        <v>295</v>
      </c>
      <c r="B192" s="9" t="s">
        <v>176</v>
      </c>
      <c r="C192" s="2" t="s">
        <v>177</v>
      </c>
      <c r="D192" s="2" t="s">
        <v>164</v>
      </c>
      <c r="E192" s="11" t="s">
        <v>178</v>
      </c>
      <c r="F192" t="s">
        <v>179</v>
      </c>
      <c r="I192" t="s">
        <v>167</v>
      </c>
      <c r="J192" t="s">
        <v>168</v>
      </c>
      <c r="K192" t="s">
        <v>180</v>
      </c>
    </row>
    <row r="193" spans="1:14" ht="12.75">
      <c r="A193" t="s">
        <v>295</v>
      </c>
      <c r="B193" s="9" t="s">
        <v>181</v>
      </c>
      <c r="C193" s="2" t="s">
        <v>182</v>
      </c>
      <c r="D193" s="2" t="s">
        <v>164</v>
      </c>
      <c r="E193" s="12" t="s">
        <v>183</v>
      </c>
      <c r="F193" t="s">
        <v>184</v>
      </c>
      <c r="I193" t="s">
        <v>167</v>
      </c>
      <c r="J193" t="s">
        <v>185</v>
      </c>
      <c r="K193" t="s">
        <v>295</v>
      </c>
      <c r="N193" s="9"/>
    </row>
    <row r="194" spans="1:11" ht="12.75">
      <c r="A194" t="s">
        <v>295</v>
      </c>
      <c r="B194" s="9" t="s">
        <v>194</v>
      </c>
      <c r="C194" s="2" t="s">
        <v>195</v>
      </c>
      <c r="D194" s="2" t="s">
        <v>164</v>
      </c>
      <c r="E194" s="12" t="s">
        <v>196</v>
      </c>
      <c r="F194" t="s">
        <v>198</v>
      </c>
      <c r="I194" t="s">
        <v>167</v>
      </c>
      <c r="J194" t="s">
        <v>168</v>
      </c>
      <c r="K194" t="s">
        <v>199</v>
      </c>
    </row>
    <row r="195" spans="1:11" ht="12.75">
      <c r="A195" t="s">
        <v>295</v>
      </c>
      <c r="B195" s="9" t="s">
        <v>200</v>
      </c>
      <c r="C195" s="2" t="s">
        <v>201</v>
      </c>
      <c r="D195" s="2" t="s">
        <v>164</v>
      </c>
      <c r="E195" s="4" t="s">
        <v>202</v>
      </c>
      <c r="F195" t="s">
        <v>203</v>
      </c>
      <c r="I195" t="s">
        <v>167</v>
      </c>
      <c r="J195" t="s">
        <v>168</v>
      </c>
      <c r="K195" t="s">
        <v>204</v>
      </c>
    </row>
    <row r="196" spans="1:11" ht="12.75">
      <c r="A196" t="s">
        <v>295</v>
      </c>
      <c r="B196" s="9" t="s">
        <v>205</v>
      </c>
      <c r="C196" s="2" t="s">
        <v>206</v>
      </c>
      <c r="D196" s="2" t="s">
        <v>164</v>
      </c>
      <c r="E196" s="12" t="s">
        <v>207</v>
      </c>
      <c r="F196" t="s">
        <v>208</v>
      </c>
      <c r="I196" t="s">
        <v>167</v>
      </c>
      <c r="J196" t="s">
        <v>168</v>
      </c>
      <c r="K196" t="s">
        <v>209</v>
      </c>
    </row>
    <row r="197" spans="1:11" ht="12.75">
      <c r="A197" t="s">
        <v>295</v>
      </c>
      <c r="B197" s="9" t="s">
        <v>210</v>
      </c>
      <c r="C197" s="2"/>
      <c r="D197" s="2" t="s">
        <v>164</v>
      </c>
      <c r="E197" s="12" t="s">
        <v>211</v>
      </c>
      <c r="F197" t="s">
        <v>212</v>
      </c>
      <c r="I197" t="s">
        <v>167</v>
      </c>
      <c r="J197" t="s">
        <v>168</v>
      </c>
      <c r="K197" t="s">
        <v>175</v>
      </c>
    </row>
    <row r="198" spans="1:11" ht="12.75">
      <c r="A198" t="s">
        <v>295</v>
      </c>
      <c r="B198" s="9" t="s">
        <v>213</v>
      </c>
      <c r="C198" s="2" t="s">
        <v>216</v>
      </c>
      <c r="D198" s="2" t="s">
        <v>164</v>
      </c>
      <c r="E198" s="12" t="s">
        <v>217</v>
      </c>
      <c r="F198" t="s">
        <v>218</v>
      </c>
      <c r="I198" t="s">
        <v>167</v>
      </c>
      <c r="J198" t="s">
        <v>168</v>
      </c>
      <c r="K198" t="s">
        <v>209</v>
      </c>
    </row>
    <row r="199" spans="2:4" ht="12.75">
      <c r="B199" s="9"/>
      <c r="C199" s="2"/>
      <c r="D199" s="2"/>
    </row>
    <row r="200" spans="2:4" ht="12.75">
      <c r="B200" s="9"/>
      <c r="C200" s="2"/>
      <c r="D200" s="2"/>
    </row>
    <row r="201" spans="2:4" ht="12.75">
      <c r="B201" s="9"/>
      <c r="C201" s="2"/>
      <c r="D201" s="2"/>
    </row>
    <row r="202" spans="2:5" ht="12.75">
      <c r="B202" s="9"/>
      <c r="C202" s="2"/>
      <c r="D202" s="2"/>
      <c r="E202" s="11"/>
    </row>
    <row r="203" spans="2:4" ht="12.75">
      <c r="B203" s="9"/>
      <c r="C203" s="2"/>
      <c r="D203" s="2"/>
    </row>
    <row r="204" spans="2:4" ht="12.75">
      <c r="B204" s="9"/>
      <c r="C204" s="2"/>
      <c r="D204" s="2"/>
    </row>
    <row r="205" spans="2:4" ht="12.75">
      <c r="B205" s="16"/>
      <c r="C205" s="2"/>
      <c r="D205" s="2"/>
    </row>
    <row r="206" spans="2:4" ht="12.75">
      <c r="B206" s="9"/>
      <c r="C206" s="2"/>
      <c r="D206" s="2"/>
    </row>
    <row r="207" spans="2:5" ht="12.75">
      <c r="B207" s="9"/>
      <c r="C207" s="2"/>
      <c r="D207" s="2"/>
      <c r="E207" s="11"/>
    </row>
    <row r="208" spans="2:5" ht="12.75">
      <c r="B208" s="9"/>
      <c r="C208" s="2"/>
      <c r="D208" s="2"/>
      <c r="E208" s="11"/>
    </row>
    <row r="209" spans="2:5" ht="12.75">
      <c r="B209" s="9"/>
      <c r="C209" s="2"/>
      <c r="D209" s="2"/>
      <c r="E209" s="11"/>
    </row>
    <row r="210" spans="2:5" ht="12.75">
      <c r="B210" s="16"/>
      <c r="C210" s="2"/>
      <c r="D210" s="2"/>
      <c r="E210" s="13"/>
    </row>
    <row r="211" spans="2:4" ht="12.75">
      <c r="B211" s="9"/>
      <c r="C211" s="2"/>
      <c r="D211" s="2"/>
    </row>
    <row r="212" ht="12.75">
      <c r="B212" s="9"/>
    </row>
    <row r="213" ht="12.75">
      <c r="B213" s="9"/>
    </row>
    <row r="214" ht="12.75">
      <c r="B214" s="9"/>
    </row>
    <row r="215" ht="12.75">
      <c r="B215" s="9"/>
    </row>
    <row r="216" ht="12.75">
      <c r="B216" s="9"/>
    </row>
    <row r="217" ht="12.75">
      <c r="B217" s="9"/>
    </row>
    <row r="218" ht="12.75">
      <c r="B218" s="9"/>
    </row>
    <row r="219" ht="12.75">
      <c r="B219" s="9"/>
    </row>
    <row r="220" ht="12.75">
      <c r="B220" s="9"/>
    </row>
    <row r="221" ht="12.75">
      <c r="B221" s="9"/>
    </row>
    <row r="222" ht="12.75">
      <c r="B222" s="9"/>
    </row>
    <row r="223" ht="12.75">
      <c r="B223" s="9"/>
    </row>
  </sheetData>
  <printOptions/>
  <pageMargins left="0.75" right="0.75" top="0.77" bottom="0.77" header="0.5" footer="0.5"/>
  <pageSetup horizontalDpi="300" verticalDpi="300" orientation="landscape" paperSize="3" r:id="rId1"/>
</worksheet>
</file>

<file path=xl/worksheets/sheet24.xml><?xml version="1.0" encoding="utf-8"?>
<worksheet xmlns="http://schemas.openxmlformats.org/spreadsheetml/2006/main" xmlns:r="http://schemas.openxmlformats.org/officeDocument/2006/relationships">
  <dimension ref="A1:AE194"/>
  <sheetViews>
    <sheetView workbookViewId="0" topLeftCell="A1">
      <pane ySplit="1" topLeftCell="BM48" activePane="bottomLeft" state="frozen"/>
      <selection pane="topLeft" activeCell="A1" sqref="A1"/>
      <selection pane="bottomLeft" activeCell="E6" sqref="E6"/>
    </sheetView>
  </sheetViews>
  <sheetFormatPr defaultColWidth="9.140625" defaultRowHeight="12.75"/>
  <cols>
    <col min="1" max="1" width="6.28125" style="0" customWidth="1"/>
    <col min="2" max="2" width="6.140625" style="0" customWidth="1"/>
    <col min="3" max="3" width="5.57421875" style="0" customWidth="1"/>
    <col min="4" max="4" width="5.7109375" style="0" customWidth="1"/>
    <col min="5" max="5" width="21.28125" style="12" customWidth="1"/>
    <col min="6" max="6" width="4.7109375" style="0" customWidth="1"/>
    <col min="7" max="7" width="4.00390625" style="0" customWidth="1"/>
    <col min="8" max="8" width="3.8515625" style="0" customWidth="1"/>
    <col min="9" max="9" width="4.28125" style="0" customWidth="1"/>
    <col min="10" max="10" width="4.140625" style="0" customWidth="1"/>
    <col min="11" max="11" width="3.57421875" style="0" customWidth="1"/>
    <col min="12" max="12" width="4.140625" style="0" customWidth="1"/>
    <col min="13" max="13" width="3.28125" style="0" customWidth="1"/>
    <col min="14" max="14" width="3.57421875" style="0" customWidth="1"/>
    <col min="15" max="15" width="3.7109375" style="0" customWidth="1"/>
    <col min="16" max="16" width="3.00390625" style="0" customWidth="1"/>
    <col min="17" max="17" width="3.7109375" style="0" customWidth="1"/>
    <col min="18" max="18" width="2.8515625" style="0" customWidth="1"/>
    <col min="19" max="19" width="3.421875" style="0" customWidth="1"/>
    <col min="20" max="20" width="3.00390625" style="0" customWidth="1"/>
    <col min="21" max="21" width="3.7109375" style="0" customWidth="1"/>
    <col min="22" max="22" width="4.140625" style="0" customWidth="1"/>
    <col min="23" max="24" width="4.28125" style="0" customWidth="1"/>
    <col min="25" max="26" width="3.8515625" style="0" customWidth="1"/>
    <col min="27" max="27" width="4.7109375" style="0" customWidth="1"/>
  </cols>
  <sheetData>
    <row r="1" spans="1:6" ht="12.75">
      <c r="A1" t="s">
        <v>697</v>
      </c>
      <c r="B1" t="s">
        <v>1603</v>
      </c>
      <c r="C1" t="s">
        <v>2074</v>
      </c>
      <c r="D1" t="s">
        <v>1242</v>
      </c>
      <c r="E1" s="12" t="s">
        <v>2075</v>
      </c>
      <c r="F1" s="12" t="s">
        <v>497</v>
      </c>
    </row>
    <row r="2" spans="2:3" ht="12.75">
      <c r="B2" s="9"/>
      <c r="C2" s="2"/>
    </row>
    <row r="3" spans="2:5" ht="12.75">
      <c r="B3">
        <v>25</v>
      </c>
      <c r="C3" s="3">
        <f aca="true" t="shared" si="0" ref="C3:C43">B3/28.349523</f>
        <v>0.881849052627799</v>
      </c>
      <c r="D3" s="3">
        <f aca="true" t="shared" si="1" ref="D3:D43">C3/16</f>
        <v>0.05511556578923744</v>
      </c>
      <c r="E3" s="12" t="s">
        <v>1800</v>
      </c>
    </row>
    <row r="4" spans="2:5" ht="12.75">
      <c r="B4" s="6">
        <v>158</v>
      </c>
      <c r="C4" s="2">
        <f>B4/28.349523</f>
        <v>5.5732860126076895</v>
      </c>
      <c r="D4" s="3">
        <f>C4/16</f>
        <v>0.3483303757879806</v>
      </c>
      <c r="E4" s="4" t="s">
        <v>1527</v>
      </c>
    </row>
    <row r="5" spans="2:5" ht="12.75">
      <c r="B5" s="9">
        <v>17</v>
      </c>
      <c r="C5" s="2">
        <f t="shared" si="0"/>
        <v>0.5996573557869034</v>
      </c>
      <c r="D5" s="2">
        <f t="shared" si="1"/>
        <v>0.03747858473668146</v>
      </c>
      <c r="E5" s="12" t="s">
        <v>1815</v>
      </c>
    </row>
    <row r="6" spans="2:5" ht="12.75">
      <c r="B6" s="9">
        <v>16</v>
      </c>
      <c r="C6" s="2">
        <f t="shared" si="0"/>
        <v>0.5643833936817914</v>
      </c>
      <c r="D6" s="2">
        <f t="shared" si="1"/>
        <v>0.03527396210511196</v>
      </c>
      <c r="E6" s="12" t="s">
        <v>1687</v>
      </c>
    </row>
    <row r="7" spans="2:5" ht="12.75">
      <c r="B7" s="16">
        <v>37</v>
      </c>
      <c r="C7" s="2">
        <f t="shared" si="0"/>
        <v>1.3051365978891425</v>
      </c>
      <c r="D7" s="2">
        <f t="shared" si="1"/>
        <v>0.0815710373680714</v>
      </c>
      <c r="E7" s="4" t="s">
        <v>792</v>
      </c>
    </row>
    <row r="8" spans="2:5" ht="12.75">
      <c r="B8" s="9">
        <v>19</v>
      </c>
      <c r="C8" s="2">
        <f t="shared" si="0"/>
        <v>0.6702052799971272</v>
      </c>
      <c r="D8" s="2">
        <f t="shared" si="1"/>
        <v>0.04188782999982045</v>
      </c>
      <c r="E8" s="12" t="s">
        <v>1471</v>
      </c>
    </row>
    <row r="9" spans="2:5" ht="12.75">
      <c r="B9" s="9">
        <v>814</v>
      </c>
      <c r="C9" s="2">
        <f t="shared" si="0"/>
        <v>28.713005153561138</v>
      </c>
      <c r="D9" s="2">
        <f t="shared" si="1"/>
        <v>1.7945628220975711</v>
      </c>
      <c r="E9" t="s">
        <v>1704</v>
      </c>
    </row>
    <row r="10" spans="2:5" ht="12.75">
      <c r="B10" s="9">
        <v>97</v>
      </c>
      <c r="C10" s="2">
        <f t="shared" si="0"/>
        <v>3.42157432419586</v>
      </c>
      <c r="D10" s="2">
        <f t="shared" si="1"/>
        <v>0.21384839526224125</v>
      </c>
      <c r="E10" s="4" t="s">
        <v>520</v>
      </c>
    </row>
    <row r="11" spans="2:5" ht="12.75">
      <c r="B11" s="9">
        <v>500</v>
      </c>
      <c r="C11" s="2">
        <f t="shared" si="0"/>
        <v>17.63698105255598</v>
      </c>
      <c r="D11" s="2">
        <f t="shared" si="1"/>
        <v>1.1023113157847488</v>
      </c>
      <c r="E11" s="4" t="s">
        <v>522</v>
      </c>
    </row>
    <row r="12" spans="2:5" ht="12.75">
      <c r="B12" s="9">
        <v>537</v>
      </c>
      <c r="C12" s="2">
        <f t="shared" si="0"/>
        <v>18.942117650445123</v>
      </c>
      <c r="D12" s="2">
        <f t="shared" si="1"/>
        <v>1.1838823531528202</v>
      </c>
      <c r="E12" s="4" t="s">
        <v>521</v>
      </c>
    </row>
    <row r="13" spans="2:5" ht="12.75">
      <c r="B13" s="9">
        <v>124</v>
      </c>
      <c r="C13" s="2">
        <f t="shared" si="0"/>
        <v>4.373971301033883</v>
      </c>
      <c r="D13" s="2">
        <f t="shared" si="1"/>
        <v>0.2733732063146177</v>
      </c>
      <c r="E13" s="4" t="s">
        <v>523</v>
      </c>
    </row>
    <row r="14" spans="2:5" ht="12.75">
      <c r="B14" s="9">
        <v>59</v>
      </c>
      <c r="C14" s="2">
        <f t="shared" si="0"/>
        <v>2.0811637642016056</v>
      </c>
      <c r="D14" s="2">
        <f t="shared" si="1"/>
        <v>0.13007273526260035</v>
      </c>
      <c r="E14" s="4" t="s">
        <v>524</v>
      </c>
    </row>
    <row r="15" spans="2:15" ht="12.75">
      <c r="B15" s="9">
        <v>100</v>
      </c>
      <c r="C15" s="2">
        <f t="shared" si="0"/>
        <v>3.527396210511196</v>
      </c>
      <c r="D15" s="2">
        <f t="shared" si="1"/>
        <v>0.22046226315694975</v>
      </c>
      <c r="E15" s="13" t="s">
        <v>525</v>
      </c>
      <c r="I15" s="47">
        <f>C11+C12+C13+C14+C15</f>
        <v>46.561629978747796</v>
      </c>
      <c r="J15" t="s">
        <v>526</v>
      </c>
      <c r="O15" s="2">
        <f>I15/16</f>
        <v>2.9101018736717372</v>
      </c>
    </row>
    <row r="16" spans="2:5" ht="12.75">
      <c r="B16" s="9">
        <v>245</v>
      </c>
      <c r="C16" s="2">
        <f t="shared" si="0"/>
        <v>8.64212071575243</v>
      </c>
      <c r="D16" s="2">
        <f t="shared" si="1"/>
        <v>0.5401325447345269</v>
      </c>
      <c r="E16" s="4" t="s">
        <v>1799</v>
      </c>
    </row>
    <row r="17" spans="2:5" ht="12.75">
      <c r="B17" s="6"/>
      <c r="C17" s="2"/>
      <c r="D17" s="3"/>
      <c r="E17" s="4"/>
    </row>
    <row r="18" spans="2:5" ht="12.75">
      <c r="B18" s="9">
        <v>33</v>
      </c>
      <c r="C18" s="2">
        <f t="shared" si="0"/>
        <v>1.1640407494686946</v>
      </c>
      <c r="D18" s="2">
        <f t="shared" si="1"/>
        <v>0.07275254684179341</v>
      </c>
      <c r="E18" s="12" t="s">
        <v>1528</v>
      </c>
    </row>
    <row r="19" spans="2:5" ht="12.75">
      <c r="B19" s="16">
        <v>44</v>
      </c>
      <c r="C19" s="2">
        <f t="shared" si="0"/>
        <v>1.5520543326249263</v>
      </c>
      <c r="D19" s="2">
        <f t="shared" si="1"/>
        <v>0.0970033957890579</v>
      </c>
      <c r="E19" s="11" t="s">
        <v>726</v>
      </c>
    </row>
    <row r="20" spans="2:5" ht="12.75">
      <c r="B20" s="9">
        <v>229</v>
      </c>
      <c r="C20" s="2">
        <f t="shared" si="0"/>
        <v>8.07773732207064</v>
      </c>
      <c r="D20" s="2">
        <f t="shared" si="1"/>
        <v>0.504858582629415</v>
      </c>
      <c r="E20" t="s">
        <v>56</v>
      </c>
    </row>
    <row r="21" spans="2:4" ht="12.75">
      <c r="B21" s="9"/>
      <c r="C21" s="2"/>
      <c r="D21" s="2"/>
    </row>
    <row r="22" spans="2:5" ht="12.75">
      <c r="B22" s="9">
        <v>236</v>
      </c>
      <c r="C22" s="2">
        <f t="shared" si="0"/>
        <v>8.324655056806423</v>
      </c>
      <c r="D22" s="2">
        <f t="shared" si="1"/>
        <v>0.5202909410504014</v>
      </c>
      <c r="E22" t="s">
        <v>2071</v>
      </c>
    </row>
    <row r="23" spans="2:5" ht="12.75">
      <c r="B23" s="16">
        <v>1105</v>
      </c>
      <c r="C23" s="2">
        <f>B23/28.349523</f>
        <v>38.97772812614872</v>
      </c>
      <c r="D23" s="2">
        <f>C23/16</f>
        <v>2.436108007884295</v>
      </c>
      <c r="E23" s="27" t="s">
        <v>187</v>
      </c>
    </row>
    <row r="24" spans="2:5" ht="12.75">
      <c r="B24" s="9">
        <v>35</v>
      </c>
      <c r="C24" s="2">
        <f>B24/28.349523</f>
        <v>1.2345886736789187</v>
      </c>
      <c r="D24" s="2">
        <f>C24/16</f>
        <v>0.07716179210493242</v>
      </c>
      <c r="E24" t="s">
        <v>1000</v>
      </c>
    </row>
    <row r="25" spans="2:5" ht="12.75">
      <c r="B25" s="9">
        <v>24</v>
      </c>
      <c r="C25" s="2">
        <f t="shared" si="0"/>
        <v>0.8465750905226871</v>
      </c>
      <c r="D25" s="2">
        <f t="shared" si="1"/>
        <v>0.05291094315766794</v>
      </c>
      <c r="E25" s="12" t="s">
        <v>320</v>
      </c>
    </row>
    <row r="26" spans="2:5" ht="12.75">
      <c r="B26" s="9">
        <v>53</v>
      </c>
      <c r="C26" s="2">
        <f t="shared" si="0"/>
        <v>1.869519991570934</v>
      </c>
      <c r="D26" s="2">
        <f t="shared" si="1"/>
        <v>0.11684499947318337</v>
      </c>
      <c r="E26" s="12" t="s">
        <v>1033</v>
      </c>
    </row>
    <row r="27" spans="2:5" ht="12.75">
      <c r="B27" s="9">
        <v>11</v>
      </c>
      <c r="C27" s="2">
        <f t="shared" si="0"/>
        <v>0.3880135831562316</v>
      </c>
      <c r="D27" s="2">
        <f t="shared" si="1"/>
        <v>0.024250848947264474</v>
      </c>
      <c r="E27" s="12" t="s">
        <v>1730</v>
      </c>
    </row>
    <row r="28" spans="2:6" ht="12.75">
      <c r="B28" s="9">
        <v>145</v>
      </c>
      <c r="C28" s="2">
        <f t="shared" si="0"/>
        <v>5.1147245052412345</v>
      </c>
      <c r="D28" s="2">
        <f t="shared" si="1"/>
        <v>0.31967028157757715</v>
      </c>
      <c r="E28" t="s">
        <v>1783</v>
      </c>
      <c r="F28" s="3"/>
    </row>
    <row r="29" spans="2:5" ht="12.75">
      <c r="B29" s="9">
        <v>15</v>
      </c>
      <c r="C29" s="2">
        <f t="shared" si="0"/>
        <v>0.5291094315766794</v>
      </c>
      <c r="D29" s="2">
        <f t="shared" si="1"/>
        <v>0.033069339473542465</v>
      </c>
      <c r="E29" s="12" t="s">
        <v>985</v>
      </c>
    </row>
    <row r="30" spans="2:5" ht="12.75">
      <c r="B30" s="9">
        <v>38</v>
      </c>
      <c r="C30" s="2">
        <f t="shared" si="0"/>
        <v>1.3404105599942544</v>
      </c>
      <c r="D30" s="2">
        <f t="shared" si="1"/>
        <v>0.0837756599996409</v>
      </c>
      <c r="E30" s="12" t="s">
        <v>92</v>
      </c>
    </row>
    <row r="31" spans="2:5" ht="12.75">
      <c r="B31" s="9">
        <v>24</v>
      </c>
      <c r="C31" s="2">
        <f t="shared" si="0"/>
        <v>0.8465750905226871</v>
      </c>
      <c r="D31" s="2">
        <f t="shared" si="1"/>
        <v>0.05291094315766794</v>
      </c>
      <c r="E31" s="12" t="s">
        <v>91</v>
      </c>
    </row>
    <row r="32" spans="2:5" ht="12.75">
      <c r="B32" s="9">
        <v>651</v>
      </c>
      <c r="C32" s="2">
        <f t="shared" si="0"/>
        <v>22.963349330427885</v>
      </c>
      <c r="D32" s="2">
        <f t="shared" si="1"/>
        <v>1.4352093331517428</v>
      </c>
      <c r="E32" s="12" t="s">
        <v>1039</v>
      </c>
    </row>
    <row r="33" spans="2:16" ht="15">
      <c r="B33">
        <v>21</v>
      </c>
      <c r="C33" s="2">
        <f t="shared" si="0"/>
        <v>0.7407532042073511</v>
      </c>
      <c r="D33" s="2">
        <f t="shared" si="1"/>
        <v>0.046297075262959446</v>
      </c>
      <c r="E33" s="4" t="s">
        <v>86</v>
      </c>
      <c r="P33" s="31"/>
    </row>
    <row r="34" spans="2:5" ht="12.75">
      <c r="B34" s="9">
        <v>408</v>
      </c>
      <c r="C34" s="2">
        <f>B34/28.349523</f>
        <v>14.39177653888568</v>
      </c>
      <c r="D34" s="2">
        <f>C34/16</f>
        <v>0.899486033680355</v>
      </c>
      <c r="E34" s="11" t="s">
        <v>1011</v>
      </c>
    </row>
    <row r="35" spans="2:5" ht="12.75">
      <c r="B35" s="9">
        <v>620</v>
      </c>
      <c r="C35" s="2">
        <f>B35/28.349523</f>
        <v>21.869856505169416</v>
      </c>
      <c r="D35" s="2">
        <f>C35/16</f>
        <v>1.3668660315730885</v>
      </c>
      <c r="E35" t="s">
        <v>94</v>
      </c>
    </row>
    <row r="36" spans="2:5" ht="12.75">
      <c r="B36" s="16">
        <v>6</v>
      </c>
      <c r="C36" s="2">
        <f>B36/28.349523</f>
        <v>0.21164377263067177</v>
      </c>
      <c r="D36" s="2">
        <f>C36/16</f>
        <v>0.013227735789416986</v>
      </c>
      <c r="E36" s="4" t="s">
        <v>1183</v>
      </c>
    </row>
    <row r="37" spans="2:5" ht="12.75">
      <c r="B37" s="9"/>
      <c r="C37" s="2"/>
      <c r="D37" s="2"/>
      <c r="E37"/>
    </row>
    <row r="38" spans="2:5" ht="12.75">
      <c r="B38" s="9">
        <f>90+21+29</f>
        <v>140</v>
      </c>
      <c r="C38" s="2">
        <f t="shared" si="0"/>
        <v>4.938354694715675</v>
      </c>
      <c r="D38" s="2">
        <f t="shared" si="1"/>
        <v>0.30864716841972967</v>
      </c>
      <c r="E38" s="12" t="s">
        <v>1707</v>
      </c>
    </row>
    <row r="39" spans="2:5" ht="12.75">
      <c r="B39" s="16">
        <v>74</v>
      </c>
      <c r="C39" s="2">
        <f t="shared" si="0"/>
        <v>2.610273195778285</v>
      </c>
      <c r="D39" s="2">
        <f t="shared" si="1"/>
        <v>0.1631420747361428</v>
      </c>
      <c r="E39" s="13" t="s">
        <v>1519</v>
      </c>
    </row>
    <row r="40" spans="2:5" ht="12.75">
      <c r="B40" s="16">
        <v>32</v>
      </c>
      <c r="C40" s="2">
        <f t="shared" si="0"/>
        <v>1.1287667873635827</v>
      </c>
      <c r="D40" s="2">
        <f t="shared" si="1"/>
        <v>0.07054792421022392</v>
      </c>
      <c r="E40" s="13" t="s">
        <v>1709</v>
      </c>
    </row>
    <row r="41" spans="2:5" ht="12.75">
      <c r="B41" s="16">
        <v>57</v>
      </c>
      <c r="C41" s="2">
        <f t="shared" si="0"/>
        <v>2.010615839991382</v>
      </c>
      <c r="D41" s="2">
        <f t="shared" si="1"/>
        <v>0.12566348999946136</v>
      </c>
      <c r="E41" s="11" t="s">
        <v>1068</v>
      </c>
    </row>
    <row r="42" spans="2:5" ht="12.75">
      <c r="B42" s="9">
        <v>10</v>
      </c>
      <c r="C42" s="2">
        <f t="shared" si="0"/>
        <v>0.3527396210511196</v>
      </c>
      <c r="D42" s="2">
        <f t="shared" si="1"/>
        <v>0.022046226315694976</v>
      </c>
      <c r="E42" s="11" t="s">
        <v>1431</v>
      </c>
    </row>
    <row r="43" spans="2:5" ht="12.75">
      <c r="B43" s="9">
        <v>15</v>
      </c>
      <c r="C43" s="2">
        <f t="shared" si="0"/>
        <v>0.5291094315766794</v>
      </c>
      <c r="D43" s="2">
        <f t="shared" si="1"/>
        <v>0.033069339473542465</v>
      </c>
      <c r="E43" s="11" t="s">
        <v>1063</v>
      </c>
    </row>
    <row r="45" spans="2:29" ht="118.5" customHeight="1">
      <c r="B45" s="28" t="s">
        <v>1603</v>
      </c>
      <c r="C45" t="s">
        <v>1265</v>
      </c>
      <c r="D45" t="s">
        <v>1604</v>
      </c>
      <c r="E45" s="12" t="s">
        <v>2075</v>
      </c>
      <c r="F45" s="28" t="s">
        <v>1932</v>
      </c>
      <c r="G45" s="1" t="s">
        <v>559</v>
      </c>
      <c r="H45" s="1" t="s">
        <v>585</v>
      </c>
      <c r="I45" s="1" t="s">
        <v>584</v>
      </c>
      <c r="J45" s="1" t="s">
        <v>583</v>
      </c>
      <c r="K45" s="1" t="s">
        <v>582</v>
      </c>
      <c r="L45" s="1" t="s">
        <v>581</v>
      </c>
      <c r="M45" s="1" t="s">
        <v>580</v>
      </c>
      <c r="N45" s="1" t="s">
        <v>579</v>
      </c>
      <c r="O45" s="1" t="s">
        <v>560</v>
      </c>
      <c r="P45" s="1" t="s">
        <v>1798</v>
      </c>
      <c r="Q45" s="1" t="s">
        <v>1797</v>
      </c>
      <c r="R45" s="1" t="s">
        <v>1785</v>
      </c>
      <c r="S45" s="1" t="s">
        <v>1820</v>
      </c>
      <c r="T45" s="1" t="s">
        <v>563</v>
      </c>
      <c r="U45" s="1" t="s">
        <v>572</v>
      </c>
      <c r="V45" s="1" t="s">
        <v>571</v>
      </c>
      <c r="W45" s="1" t="s">
        <v>575</v>
      </c>
      <c r="X45" s="1" t="s">
        <v>576</v>
      </c>
      <c r="Y45" s="1" t="s">
        <v>577</v>
      </c>
      <c r="Z45" s="1" t="s">
        <v>578</v>
      </c>
      <c r="AA45" s="1" t="s">
        <v>553</v>
      </c>
      <c r="AB45" s="1"/>
      <c r="AC45" s="1"/>
    </row>
    <row r="46" spans="1:29" ht="12.75">
      <c r="A46">
        <f>O46*B46</f>
        <v>1372.142857142857</v>
      </c>
      <c r="B46">
        <v>226</v>
      </c>
      <c r="C46" s="2">
        <f aca="true" t="shared" si="2" ref="C46:C52">B46/28.349523</f>
        <v>7.971915435755303</v>
      </c>
      <c r="D46" s="2">
        <f aca="true" t="shared" si="3" ref="D46:D52">C46/16</f>
        <v>0.49824471473470644</v>
      </c>
      <c r="E46" s="11" t="s">
        <v>1845</v>
      </c>
      <c r="F46" s="9">
        <v>28</v>
      </c>
      <c r="G46">
        <v>170</v>
      </c>
      <c r="H46">
        <v>13</v>
      </c>
      <c r="I46">
        <v>3</v>
      </c>
      <c r="J46">
        <v>0</v>
      </c>
      <c r="K46">
        <v>9</v>
      </c>
      <c r="L46">
        <v>2</v>
      </c>
      <c r="M46">
        <v>5</v>
      </c>
      <c r="N46">
        <v>1</v>
      </c>
      <c r="O46" s="32">
        <f aca="true" t="shared" si="4" ref="O46:O52">G46/F46</f>
        <v>6.071428571428571</v>
      </c>
      <c r="P46" s="9">
        <f>100*M46/F46</f>
        <v>17.857142857142858</v>
      </c>
      <c r="Q46" s="9">
        <f aca="true" t="shared" si="5" ref="Q46:Q52">100*9*H46/G46</f>
        <v>68.82352941176471</v>
      </c>
      <c r="R46" s="29">
        <f aca="true" t="shared" si="6" ref="R46:R52">100*(I46*9)/G46</f>
        <v>15.882352941176471</v>
      </c>
      <c r="S46" s="9">
        <f>100*K46/F46</f>
        <v>32.142857142857146</v>
      </c>
      <c r="T46" s="9">
        <f aca="true" t="shared" si="7" ref="T46:T52">100*N46/F46</f>
        <v>3.5714285714285716</v>
      </c>
      <c r="U46" s="2">
        <f aca="true" t="shared" si="8" ref="U46:U52">B46/F46</f>
        <v>8.071428571428571</v>
      </c>
      <c r="V46" s="9">
        <f aca="true" t="shared" si="9" ref="V46:V52">U46*M46</f>
        <v>40.357142857142854</v>
      </c>
      <c r="W46" s="9">
        <f aca="true" t="shared" si="10" ref="W46:W52">U46*H46</f>
        <v>104.92857142857143</v>
      </c>
      <c r="X46" s="9">
        <f aca="true" t="shared" si="11" ref="X46:X52">U46*K46</f>
        <v>72.64285714285714</v>
      </c>
      <c r="Y46" s="9">
        <f>U46*N46</f>
        <v>8.071428571428571</v>
      </c>
      <c r="Z46">
        <f aca="true" t="shared" si="12" ref="Z46:Z52">U46*J46</f>
        <v>0</v>
      </c>
      <c r="AA46" s="2">
        <f>U46*I46</f>
        <v>24.214285714285715</v>
      </c>
      <c r="AB46" s="9" t="s">
        <v>528</v>
      </c>
      <c r="AC46" s="9"/>
    </row>
    <row r="47" spans="1:29" ht="12.75">
      <c r="A47">
        <f>O47*B47</f>
        <v>462.8571428571429</v>
      </c>
      <c r="B47">
        <v>162</v>
      </c>
      <c r="C47" s="2">
        <f t="shared" si="2"/>
        <v>5.714381861028138</v>
      </c>
      <c r="D47" s="2">
        <f t="shared" si="3"/>
        <v>0.35714886631425863</v>
      </c>
      <c r="E47" s="11" t="s">
        <v>1936</v>
      </c>
      <c r="F47" s="9">
        <v>28</v>
      </c>
      <c r="G47">
        <v>80</v>
      </c>
      <c r="H47">
        <v>1</v>
      </c>
      <c r="I47" s="6">
        <v>0.5</v>
      </c>
      <c r="J47">
        <v>25</v>
      </c>
      <c r="K47">
        <v>4</v>
      </c>
      <c r="L47">
        <v>3</v>
      </c>
      <c r="M47">
        <v>15</v>
      </c>
      <c r="N47">
        <v>0</v>
      </c>
      <c r="O47" s="2">
        <f t="shared" si="4"/>
        <v>2.857142857142857</v>
      </c>
      <c r="P47" s="29">
        <f>100*4*M47/G47</f>
        <v>75</v>
      </c>
      <c r="Q47" s="9">
        <f t="shared" si="5"/>
        <v>11.25</v>
      </c>
      <c r="R47" s="16">
        <f t="shared" si="6"/>
        <v>5.625</v>
      </c>
      <c r="S47" s="16">
        <f>100*K47*4/G47</f>
        <v>20</v>
      </c>
      <c r="T47" s="9">
        <f t="shared" si="7"/>
        <v>0</v>
      </c>
      <c r="U47" s="2">
        <f t="shared" si="8"/>
        <v>5.785714285714286</v>
      </c>
      <c r="V47" s="9">
        <f t="shared" si="9"/>
        <v>86.78571428571428</v>
      </c>
      <c r="W47" s="9">
        <f t="shared" si="10"/>
        <v>5.785714285714286</v>
      </c>
      <c r="X47" s="9">
        <f t="shared" si="11"/>
        <v>23.142857142857142</v>
      </c>
      <c r="Y47" s="9">
        <f>U47*N47</f>
        <v>0</v>
      </c>
      <c r="Z47">
        <f t="shared" si="12"/>
        <v>144.64285714285714</v>
      </c>
      <c r="AA47" s="2">
        <f>U47*I47</f>
        <v>2.892857142857143</v>
      </c>
      <c r="AB47" s="9" t="s">
        <v>1345</v>
      </c>
      <c r="AC47" s="9"/>
    </row>
    <row r="48" spans="1:29" ht="12.75">
      <c r="A48">
        <f>O48*B48</f>
        <v>458.1818181818182</v>
      </c>
      <c r="B48">
        <f>67+45</f>
        <v>112</v>
      </c>
      <c r="C48" s="2">
        <f t="shared" si="2"/>
        <v>3.95068375577254</v>
      </c>
      <c r="D48" s="2">
        <f t="shared" si="3"/>
        <v>0.24691773473578374</v>
      </c>
      <c r="E48" s="11" t="s">
        <v>253</v>
      </c>
      <c r="F48" s="9">
        <v>22</v>
      </c>
      <c r="G48">
        <v>90</v>
      </c>
      <c r="H48">
        <v>2</v>
      </c>
      <c r="I48" s="6">
        <v>0.5</v>
      </c>
      <c r="J48">
        <v>0</v>
      </c>
      <c r="K48">
        <v>18</v>
      </c>
      <c r="L48">
        <v>8</v>
      </c>
      <c r="M48">
        <v>1</v>
      </c>
      <c r="N48">
        <v>0</v>
      </c>
      <c r="O48" s="2">
        <f t="shared" si="4"/>
        <v>4.090909090909091</v>
      </c>
      <c r="P48" s="42">
        <f>100*4*M48/G48</f>
        <v>4.444444444444445</v>
      </c>
      <c r="Q48" s="9">
        <f t="shared" si="5"/>
        <v>20</v>
      </c>
      <c r="R48" s="42">
        <f t="shared" si="6"/>
        <v>5</v>
      </c>
      <c r="S48" s="29">
        <f>100*K48*4/G48</f>
        <v>80</v>
      </c>
      <c r="T48" s="9">
        <f t="shared" si="7"/>
        <v>0</v>
      </c>
      <c r="U48" s="2">
        <f t="shared" si="8"/>
        <v>5.090909090909091</v>
      </c>
      <c r="V48" s="9">
        <f t="shared" si="9"/>
        <v>5.090909090909091</v>
      </c>
      <c r="W48" s="9">
        <f t="shared" si="10"/>
        <v>10.181818181818182</v>
      </c>
      <c r="X48" s="9">
        <f t="shared" si="11"/>
        <v>91.63636363636364</v>
      </c>
      <c r="Y48" s="9">
        <f>U48*N48</f>
        <v>0</v>
      </c>
      <c r="Z48">
        <f t="shared" si="12"/>
        <v>0</v>
      </c>
      <c r="AA48" s="2">
        <f>U48*I48</f>
        <v>2.5454545454545454</v>
      </c>
      <c r="AB48" s="9" t="s">
        <v>1591</v>
      </c>
      <c r="AC48" s="9"/>
    </row>
    <row r="49" spans="1:28" ht="12.75">
      <c r="A49">
        <f>O49*B49</f>
        <v>234.5</v>
      </c>
      <c r="B49" s="12">
        <v>67</v>
      </c>
      <c r="C49" s="2">
        <f t="shared" si="2"/>
        <v>2.3633554610425014</v>
      </c>
      <c r="D49" s="2">
        <f t="shared" si="3"/>
        <v>0.14770971631515634</v>
      </c>
      <c r="E49" s="11" t="s">
        <v>1573</v>
      </c>
      <c r="F49" s="9">
        <v>40</v>
      </c>
      <c r="G49">
        <v>140</v>
      </c>
      <c r="H49">
        <v>0</v>
      </c>
      <c r="I49" s="6">
        <v>0</v>
      </c>
      <c r="J49" s="6">
        <v>0</v>
      </c>
      <c r="K49" s="6">
        <v>35</v>
      </c>
      <c r="L49" s="6">
        <v>30</v>
      </c>
      <c r="M49" s="6">
        <v>0</v>
      </c>
      <c r="N49" s="6">
        <v>2</v>
      </c>
      <c r="O49" s="44">
        <f t="shared" si="4"/>
        <v>3.5</v>
      </c>
      <c r="P49" s="42">
        <f>100*4*M49/G49</f>
        <v>0</v>
      </c>
      <c r="Q49" s="42">
        <f t="shared" si="5"/>
        <v>0</v>
      </c>
      <c r="R49" s="42">
        <f t="shared" si="6"/>
        <v>0</v>
      </c>
      <c r="S49" s="46">
        <f>100*K49*4/G49</f>
        <v>100</v>
      </c>
      <c r="T49" s="35">
        <f t="shared" si="7"/>
        <v>5</v>
      </c>
      <c r="U49" s="2">
        <f t="shared" si="8"/>
        <v>1.675</v>
      </c>
      <c r="V49" s="35">
        <f t="shared" si="9"/>
        <v>0</v>
      </c>
      <c r="W49" s="35">
        <f t="shared" si="10"/>
        <v>0</v>
      </c>
      <c r="X49" s="35">
        <f t="shared" si="11"/>
        <v>58.625</v>
      </c>
      <c r="Y49" s="35">
        <f aca="true" t="shared" si="13" ref="Y49:Y56">N49*U49</f>
        <v>3.35</v>
      </c>
      <c r="Z49" s="34">
        <f t="shared" si="12"/>
        <v>0</v>
      </c>
      <c r="AA49" s="44">
        <f aca="true" t="shared" si="14" ref="AA49:AA56">I49*U49</f>
        <v>0</v>
      </c>
      <c r="AB49" s="9" t="s">
        <v>1844</v>
      </c>
    </row>
    <row r="50" spans="1:29" ht="12.75">
      <c r="A50">
        <f>O50*B50</f>
        <v>419.19781052451907</v>
      </c>
      <c r="B50">
        <v>82</v>
      </c>
      <c r="C50" s="2">
        <f t="shared" si="2"/>
        <v>2.8924648926191807</v>
      </c>
      <c r="D50" s="2">
        <f t="shared" si="3"/>
        <v>0.1807790557886988</v>
      </c>
      <c r="E50" s="11" t="s">
        <v>1937</v>
      </c>
      <c r="F50" s="9">
        <f>1.38*28.349523</f>
        <v>39.122341739999996</v>
      </c>
      <c r="G50">
        <v>200</v>
      </c>
      <c r="H50">
        <v>10</v>
      </c>
      <c r="I50" s="6">
        <v>2</v>
      </c>
      <c r="J50">
        <v>0</v>
      </c>
      <c r="K50">
        <v>23</v>
      </c>
      <c r="L50">
        <v>5</v>
      </c>
      <c r="M50">
        <v>4</v>
      </c>
      <c r="N50">
        <v>1</v>
      </c>
      <c r="O50" s="2">
        <f t="shared" si="4"/>
        <v>5.11216842103072</v>
      </c>
      <c r="P50" s="42">
        <f aca="true" t="shared" si="15" ref="P50:P56">100*4*M50/G50</f>
        <v>8</v>
      </c>
      <c r="Q50" s="9">
        <f t="shared" si="5"/>
        <v>45</v>
      </c>
      <c r="R50" s="16">
        <f t="shared" si="6"/>
        <v>9</v>
      </c>
      <c r="S50" s="16">
        <f>100*K50*4/G50</f>
        <v>46</v>
      </c>
      <c r="T50" s="9">
        <f t="shared" si="7"/>
        <v>2.55608421051536</v>
      </c>
      <c r="U50" s="2">
        <f t="shared" si="8"/>
        <v>2.095989052622595</v>
      </c>
      <c r="V50" s="35">
        <f t="shared" si="9"/>
        <v>8.38395621049038</v>
      </c>
      <c r="W50" s="35">
        <f t="shared" si="10"/>
        <v>20.95989052622595</v>
      </c>
      <c r="X50" s="35">
        <f t="shared" si="11"/>
        <v>48.207748210319686</v>
      </c>
      <c r="Y50" s="35">
        <f t="shared" si="13"/>
        <v>2.095989052622595</v>
      </c>
      <c r="Z50" s="34">
        <f t="shared" si="12"/>
        <v>0</v>
      </c>
      <c r="AA50" s="44">
        <f t="shared" si="14"/>
        <v>4.19197810524519</v>
      </c>
      <c r="AB50" s="9" t="s">
        <v>1590</v>
      </c>
      <c r="AC50" s="9"/>
    </row>
    <row r="51" spans="1:29" ht="12.75">
      <c r="A51" s="9">
        <f aca="true" t="shared" si="16" ref="A51:A56">G51*U51</f>
        <v>449.40000000000003</v>
      </c>
      <c r="B51" s="9">
        <v>107</v>
      </c>
      <c r="C51" s="2">
        <f t="shared" si="2"/>
        <v>3.7743139452469796</v>
      </c>
      <c r="D51" s="2">
        <f t="shared" si="3"/>
        <v>0.23589462157793623</v>
      </c>
      <c r="E51" s="11" t="s">
        <v>1919</v>
      </c>
      <c r="F51" s="9">
        <v>50</v>
      </c>
      <c r="G51">
        <v>210</v>
      </c>
      <c r="H51">
        <v>7</v>
      </c>
      <c r="I51" s="6">
        <v>4</v>
      </c>
      <c r="J51">
        <v>0</v>
      </c>
      <c r="K51">
        <v>24</v>
      </c>
      <c r="L51">
        <v>14</v>
      </c>
      <c r="M51">
        <v>14</v>
      </c>
      <c r="N51">
        <v>0.5</v>
      </c>
      <c r="O51" s="2">
        <f t="shared" si="4"/>
        <v>4.2</v>
      </c>
      <c r="P51" s="29">
        <f t="shared" si="15"/>
        <v>26.666666666666668</v>
      </c>
      <c r="Q51" s="9">
        <f t="shared" si="5"/>
        <v>30</v>
      </c>
      <c r="R51" s="29">
        <f t="shared" si="6"/>
        <v>17.142857142857142</v>
      </c>
      <c r="S51" s="16" t="s">
        <v>69</v>
      </c>
      <c r="T51" s="9">
        <f t="shared" si="7"/>
        <v>1</v>
      </c>
      <c r="U51" s="2">
        <f t="shared" si="8"/>
        <v>2.14</v>
      </c>
      <c r="V51" s="16">
        <f t="shared" si="9"/>
        <v>29.96</v>
      </c>
      <c r="W51" s="9">
        <f t="shared" si="10"/>
        <v>14.98</v>
      </c>
      <c r="X51" s="9">
        <f t="shared" si="11"/>
        <v>51.36</v>
      </c>
      <c r="Y51" s="16">
        <f t="shared" si="13"/>
        <v>1.07</v>
      </c>
      <c r="Z51">
        <f t="shared" si="12"/>
        <v>0</v>
      </c>
      <c r="AA51" s="2">
        <f t="shared" si="14"/>
        <v>8.56</v>
      </c>
      <c r="AB51" s="11" t="s">
        <v>1920</v>
      </c>
      <c r="AC51" s="9"/>
    </row>
    <row r="52" spans="1:29" ht="12.75">
      <c r="A52" s="9">
        <f t="shared" si="16"/>
        <v>195</v>
      </c>
      <c r="B52">
        <v>52</v>
      </c>
      <c r="C52" s="2">
        <f t="shared" si="2"/>
        <v>1.834246029465822</v>
      </c>
      <c r="D52" s="2">
        <f t="shared" si="3"/>
        <v>0.11464037684161388</v>
      </c>
      <c r="E52" s="11" t="s">
        <v>1922</v>
      </c>
      <c r="F52" s="9">
        <v>48</v>
      </c>
      <c r="G52">
        <v>180</v>
      </c>
      <c r="H52">
        <v>4.5</v>
      </c>
      <c r="I52" s="6">
        <v>3.5</v>
      </c>
      <c r="J52" s="6">
        <v>0</v>
      </c>
      <c r="K52" s="6">
        <v>24</v>
      </c>
      <c r="L52" s="6">
        <v>11</v>
      </c>
      <c r="M52" s="6">
        <v>10</v>
      </c>
      <c r="N52" s="6">
        <v>2</v>
      </c>
      <c r="O52" s="2">
        <f t="shared" si="4"/>
        <v>3.75</v>
      </c>
      <c r="P52" s="16">
        <f t="shared" si="15"/>
        <v>22.22222222222222</v>
      </c>
      <c r="Q52" s="9">
        <f t="shared" si="5"/>
        <v>22.5</v>
      </c>
      <c r="R52" s="16">
        <f t="shared" si="6"/>
        <v>17.5</v>
      </c>
      <c r="S52" s="16">
        <f>100*K52*4/G52</f>
        <v>53.333333333333336</v>
      </c>
      <c r="T52" s="9">
        <f t="shared" si="7"/>
        <v>4.166666666666667</v>
      </c>
      <c r="U52" s="2">
        <f t="shared" si="8"/>
        <v>1.0833333333333333</v>
      </c>
      <c r="V52" s="16">
        <f t="shared" si="9"/>
        <v>10.833333333333332</v>
      </c>
      <c r="W52" s="9">
        <f t="shared" si="10"/>
        <v>4.875</v>
      </c>
      <c r="X52" s="9">
        <f t="shared" si="11"/>
        <v>26</v>
      </c>
      <c r="Y52" s="16">
        <f t="shared" si="13"/>
        <v>2.1666666666666665</v>
      </c>
      <c r="Z52">
        <f t="shared" si="12"/>
        <v>0</v>
      </c>
      <c r="AA52" s="2">
        <f t="shared" si="14"/>
        <v>3.7916666666666665</v>
      </c>
      <c r="AB52" s="9" t="s">
        <v>1584</v>
      </c>
      <c r="AC52" s="9"/>
    </row>
    <row r="53" spans="1:28" ht="12.75">
      <c r="A53" s="9">
        <f t="shared" si="16"/>
        <v>1099.3548387096776</v>
      </c>
      <c r="B53" s="12">
        <v>142</v>
      </c>
      <c r="C53" s="2">
        <f>B53/28.349523</f>
        <v>5.008902618925898</v>
      </c>
      <c r="D53" s="2">
        <f>C53/16</f>
        <v>0.31305641368286863</v>
      </c>
      <c r="E53" s="11" t="s">
        <v>539</v>
      </c>
      <c r="F53" s="9">
        <v>31</v>
      </c>
      <c r="G53">
        <v>240</v>
      </c>
      <c r="H53">
        <v>23</v>
      </c>
      <c r="I53" s="6">
        <v>3.5</v>
      </c>
      <c r="J53">
        <v>0</v>
      </c>
      <c r="K53">
        <v>4</v>
      </c>
      <c r="L53">
        <v>1</v>
      </c>
      <c r="M53">
        <v>2</v>
      </c>
      <c r="N53">
        <v>2</v>
      </c>
      <c r="O53" s="32">
        <f>G53/F53</f>
        <v>7.741935483870968</v>
      </c>
      <c r="P53" s="42">
        <f t="shared" si="15"/>
        <v>3.3333333333333335</v>
      </c>
      <c r="Q53" s="29">
        <f>100*9*H53/G53</f>
        <v>86.25</v>
      </c>
      <c r="R53" s="16">
        <f>100*(I53*9)/G53</f>
        <v>13.125</v>
      </c>
      <c r="S53" s="16">
        <f>100*K53*4/G53</f>
        <v>6.666666666666667</v>
      </c>
      <c r="T53" s="9">
        <f>100*N53/F53</f>
        <v>6.451612903225806</v>
      </c>
      <c r="U53" s="2">
        <f>B53/F53</f>
        <v>4.580645161290323</v>
      </c>
      <c r="V53" s="16">
        <f>U53*M53</f>
        <v>9.161290322580646</v>
      </c>
      <c r="W53" s="9">
        <f>U53*H53</f>
        <v>105.35483870967742</v>
      </c>
      <c r="X53" s="9">
        <f>U53*K53</f>
        <v>18.322580645161292</v>
      </c>
      <c r="Y53" s="16">
        <f t="shared" si="13"/>
        <v>9.161290322580646</v>
      </c>
      <c r="Z53">
        <f>U53*J53</f>
        <v>0</v>
      </c>
      <c r="AA53" s="2">
        <f t="shared" si="14"/>
        <v>16.03225806451613</v>
      </c>
      <c r="AB53" t="s">
        <v>1594</v>
      </c>
    </row>
    <row r="54" spans="1:29" ht="12.75">
      <c r="A54" s="9">
        <f t="shared" si="16"/>
        <v>666</v>
      </c>
      <c r="B54">
        <v>111</v>
      </c>
      <c r="C54" s="2">
        <f>B54/28.349523</f>
        <v>3.9154097936674277</v>
      </c>
      <c r="D54" s="2">
        <f>C54/16</f>
        <v>0.24471311210421423</v>
      </c>
      <c r="E54" s="11" t="s">
        <v>564</v>
      </c>
      <c r="F54" s="9">
        <v>30</v>
      </c>
      <c r="G54">
        <v>180</v>
      </c>
      <c r="H54">
        <v>14</v>
      </c>
      <c r="I54" s="6">
        <v>1.5</v>
      </c>
      <c r="J54">
        <v>0</v>
      </c>
      <c r="K54">
        <v>9</v>
      </c>
      <c r="L54">
        <v>3</v>
      </c>
      <c r="M54">
        <v>6</v>
      </c>
      <c r="N54">
        <v>3</v>
      </c>
      <c r="O54" s="32">
        <f>G54/F54</f>
        <v>6</v>
      </c>
      <c r="P54" s="9">
        <f t="shared" si="15"/>
        <v>13.333333333333334</v>
      </c>
      <c r="Q54" s="16">
        <f>100*9*H54/G54</f>
        <v>70</v>
      </c>
      <c r="R54" s="16">
        <f>100*(I54*9)/G54</f>
        <v>7.5</v>
      </c>
      <c r="S54" s="16">
        <f>100*K54*4/G54</f>
        <v>20</v>
      </c>
      <c r="T54" s="29">
        <f>100*N54/F54</f>
        <v>10</v>
      </c>
      <c r="U54" s="2">
        <f>B54/F54</f>
        <v>3.7</v>
      </c>
      <c r="V54" s="16">
        <f>U54*M54</f>
        <v>22.200000000000003</v>
      </c>
      <c r="W54" s="9">
        <f>U54*H54</f>
        <v>51.800000000000004</v>
      </c>
      <c r="X54" s="9">
        <f>U54*K54</f>
        <v>33.300000000000004</v>
      </c>
      <c r="Y54" s="16">
        <f t="shared" si="13"/>
        <v>11.100000000000001</v>
      </c>
      <c r="Z54">
        <f>U54*J54</f>
        <v>0</v>
      </c>
      <c r="AA54" s="2">
        <f t="shared" si="14"/>
        <v>5.550000000000001</v>
      </c>
      <c r="AB54" s="9" t="s">
        <v>570</v>
      </c>
      <c r="AC54" s="9"/>
    </row>
    <row r="55" spans="1:29" ht="12.75">
      <c r="A55" s="9">
        <f t="shared" si="16"/>
        <v>1071.2</v>
      </c>
      <c r="B55">
        <v>206</v>
      </c>
      <c r="C55" s="2">
        <f>B55/28.349523</f>
        <v>7.266436193653064</v>
      </c>
      <c r="D55" s="2">
        <f>C55/16</f>
        <v>0.4541522621033165</v>
      </c>
      <c r="E55" s="11" t="s">
        <v>1571</v>
      </c>
      <c r="F55" s="9">
        <v>25</v>
      </c>
      <c r="G55">
        <v>130</v>
      </c>
      <c r="H55">
        <v>7</v>
      </c>
      <c r="I55" s="6">
        <v>2.5</v>
      </c>
      <c r="J55">
        <v>0.005</v>
      </c>
      <c r="K55">
        <v>16</v>
      </c>
      <c r="L55">
        <v>8</v>
      </c>
      <c r="M55">
        <v>1</v>
      </c>
      <c r="N55">
        <v>0.5</v>
      </c>
      <c r="O55" s="10">
        <f>G55/F55</f>
        <v>5.2</v>
      </c>
      <c r="P55" s="9">
        <f t="shared" si="15"/>
        <v>3.076923076923077</v>
      </c>
      <c r="Q55" s="16">
        <f>100*9*H55/G55</f>
        <v>48.46153846153846</v>
      </c>
      <c r="R55" s="16">
        <f>100*(I55*9)/G55</f>
        <v>17.307692307692307</v>
      </c>
      <c r="S55" s="16">
        <f>100*K55*4/G55</f>
        <v>49.23076923076923</v>
      </c>
      <c r="T55" s="16">
        <f>100*N55/F55</f>
        <v>2</v>
      </c>
      <c r="U55" s="2">
        <f>B55/F55</f>
        <v>8.24</v>
      </c>
      <c r="V55" s="16">
        <f>U55*M55</f>
        <v>8.24</v>
      </c>
      <c r="W55" s="9">
        <f>U55*H55</f>
        <v>57.68</v>
      </c>
      <c r="X55" s="9">
        <f>U55*K55</f>
        <v>131.84</v>
      </c>
      <c r="Y55" s="16">
        <f t="shared" si="13"/>
        <v>4.12</v>
      </c>
      <c r="Z55">
        <f>U55*J55</f>
        <v>0.0412</v>
      </c>
      <c r="AA55" s="2">
        <f t="shared" si="14"/>
        <v>20.6</v>
      </c>
      <c r="AB55" s="9" t="s">
        <v>1572</v>
      </c>
      <c r="AC55" s="9"/>
    </row>
    <row r="56" spans="1:29" ht="12.75">
      <c r="A56" s="9">
        <f t="shared" si="16"/>
        <v>602.7272727272727</v>
      </c>
      <c r="B56">
        <v>102</v>
      </c>
      <c r="C56" s="2">
        <f>B56/28.349523</f>
        <v>3.59794413472142</v>
      </c>
      <c r="D56" s="2">
        <f>C56/16</f>
        <v>0.22487150842008874</v>
      </c>
      <c r="E56" s="11" t="s">
        <v>89</v>
      </c>
      <c r="F56" s="9">
        <v>44</v>
      </c>
      <c r="G56">
        <v>260</v>
      </c>
      <c r="H56">
        <v>19</v>
      </c>
      <c r="I56" s="6">
        <v>11</v>
      </c>
      <c r="J56">
        <v>0.005</v>
      </c>
      <c r="K56">
        <v>18</v>
      </c>
      <c r="L56">
        <v>11</v>
      </c>
      <c r="M56">
        <v>4</v>
      </c>
      <c r="N56">
        <v>3</v>
      </c>
      <c r="O56" s="2">
        <f>G56/F56</f>
        <v>5.909090909090909</v>
      </c>
      <c r="P56" s="42">
        <f t="shared" si="15"/>
        <v>6.153846153846154</v>
      </c>
      <c r="Q56" s="9">
        <f>100*9*H56/G56</f>
        <v>65.76923076923077</v>
      </c>
      <c r="R56" s="29">
        <f>100*(I56*9)/G56</f>
        <v>38.07692307692308</v>
      </c>
      <c r="S56" s="16">
        <f>100*K56*4/G56</f>
        <v>27.692307692307693</v>
      </c>
      <c r="T56" s="9">
        <f>100*N56/F56</f>
        <v>6.818181818181818</v>
      </c>
      <c r="U56" s="2">
        <f>B56/F56</f>
        <v>2.3181818181818183</v>
      </c>
      <c r="V56" s="16">
        <f>U56*M56</f>
        <v>9.272727272727273</v>
      </c>
      <c r="W56" s="9">
        <f>U56*H56</f>
        <v>44.04545454545455</v>
      </c>
      <c r="X56" s="9">
        <f>U56*K56</f>
        <v>41.727272727272734</v>
      </c>
      <c r="Y56" s="16">
        <f t="shared" si="13"/>
        <v>6.954545454545455</v>
      </c>
      <c r="Z56">
        <f>U56*J56</f>
        <v>0.011590909090909093</v>
      </c>
      <c r="AA56" s="2">
        <f t="shared" si="14"/>
        <v>25.5</v>
      </c>
      <c r="AB56" t="s">
        <v>1592</v>
      </c>
      <c r="AC56" s="9"/>
    </row>
    <row r="57" spans="1:27" ht="12.75">
      <c r="A57" s="9">
        <f>SUM(A46:A56)</f>
        <v>7030.561740143287</v>
      </c>
      <c r="B57" s="9"/>
      <c r="C57" s="9">
        <f>SUM(C46:C56)</f>
        <v>48.29005412189828</v>
      </c>
      <c r="D57" s="2">
        <f>SUM(D46:D56)</f>
        <v>3.0181283826186425</v>
      </c>
      <c r="E57" s="11" t="s">
        <v>1507</v>
      </c>
      <c r="J57" s="9"/>
      <c r="K57" s="3"/>
      <c r="L57" s="3"/>
      <c r="M57" s="9"/>
      <c r="O57" s="3"/>
      <c r="V57" s="9">
        <f aca="true" t="shared" si="17" ref="V57:AA57">SUM(V46:V56)</f>
        <v>230.28507337289787</v>
      </c>
      <c r="W57" s="9">
        <f t="shared" si="17"/>
        <v>420.5912876774619</v>
      </c>
      <c r="X57" s="9">
        <f t="shared" si="17"/>
        <v>596.8046795048316</v>
      </c>
      <c r="Y57" s="9">
        <f t="shared" si="17"/>
        <v>48.089920067843934</v>
      </c>
      <c r="Z57" s="9">
        <f t="shared" si="17"/>
        <v>144.69564805194804</v>
      </c>
      <c r="AA57" s="9">
        <f t="shared" si="17"/>
        <v>113.87850023902539</v>
      </c>
    </row>
    <row r="58" spans="3:31" ht="12.75">
      <c r="C58" s="2"/>
      <c r="D58" s="2"/>
      <c r="F58">
        <v>1.9</v>
      </c>
      <c r="G58" t="s">
        <v>534</v>
      </c>
      <c r="I58" s="34">
        <f>A57/F58</f>
        <v>3700.2956527069937</v>
      </c>
      <c r="J58" t="s">
        <v>536</v>
      </c>
      <c r="L58" s="9">
        <f>V57/F58</f>
        <v>121.20267019626205</v>
      </c>
      <c r="M58" t="s">
        <v>535</v>
      </c>
      <c r="O58">
        <f>Y57/F58</f>
        <v>25.31048424623365</v>
      </c>
      <c r="P58" t="s">
        <v>554</v>
      </c>
      <c r="R58">
        <f>AA57/F58</f>
        <v>59.93605275738179</v>
      </c>
      <c r="S58" t="s">
        <v>555</v>
      </c>
      <c r="V58" s="35">
        <f>4*V57</f>
        <v>921.1402934915915</v>
      </c>
      <c r="W58" s="35">
        <f>9*W57</f>
        <v>3785.321589097157</v>
      </c>
      <c r="X58" s="35">
        <f>4*X57</f>
        <v>2387.2187180193264</v>
      </c>
      <c r="AA58" s="34">
        <f>9*AA57</f>
        <v>1024.9065021512286</v>
      </c>
      <c r="AB58" t="s">
        <v>697</v>
      </c>
      <c r="AD58" s="9">
        <f>V58+W58+X58</f>
        <v>7093.680600608075</v>
      </c>
      <c r="AE58" t="s">
        <v>797</v>
      </c>
    </row>
    <row r="59" spans="1:31" ht="12.75">
      <c r="A59">
        <v>7000</v>
      </c>
      <c r="B59" s="9"/>
      <c r="C59" s="2"/>
      <c r="D59" s="2"/>
      <c r="E59" s="11" t="s">
        <v>1917</v>
      </c>
      <c r="V59" s="9">
        <f>V58*100/A57</f>
        <v>13.101944446800605</v>
      </c>
      <c r="W59" s="9">
        <f>100*W58/A57</f>
        <v>53.84095509016908</v>
      </c>
      <c r="X59" s="9">
        <f>X58*100/A57</f>
        <v>33.95487880276652</v>
      </c>
      <c r="Y59" s="2">
        <f>100*Y57/A57</f>
        <v>0.6840124849947457</v>
      </c>
      <c r="AA59">
        <f>100*AA58/A57</f>
        <v>14.577874998226532</v>
      </c>
      <c r="AB59" t="s">
        <v>1786</v>
      </c>
      <c r="AD59" s="9">
        <f>AD58-A57</f>
        <v>63.11886046478776</v>
      </c>
      <c r="AE59" t="s">
        <v>1921</v>
      </c>
    </row>
    <row r="60" spans="1:27" ht="12.75">
      <c r="A60" s="9">
        <f>A59-A57</f>
        <v>-30.561740143287352</v>
      </c>
      <c r="E60" t="s">
        <v>1918</v>
      </c>
      <c r="Z60">
        <f>Z57/F58</f>
        <v>76.1556042378674</v>
      </c>
      <c r="AA60" t="s">
        <v>1923</v>
      </c>
    </row>
    <row r="61" spans="2:5" ht="12.75">
      <c r="B61">
        <v>26</v>
      </c>
      <c r="C61" s="9">
        <f>SUM(C50:C60)</f>
        <v>76.57977173019808</v>
      </c>
      <c r="D61" s="9">
        <f>SUM(D50:D60)</f>
        <v>4.78623573313738</v>
      </c>
      <c r="E61" t="s">
        <v>1924</v>
      </c>
    </row>
    <row r="62" spans="1:28" ht="12.75">
      <c r="A62" s="2"/>
      <c r="B62" s="11"/>
      <c r="E62"/>
      <c r="H62" s="33" t="s">
        <v>587</v>
      </c>
      <c r="AB62" t="s">
        <v>565</v>
      </c>
    </row>
    <row r="63" spans="5:29" ht="12.75">
      <c r="E63"/>
      <c r="I63" t="s">
        <v>586</v>
      </c>
      <c r="AB63">
        <v>4</v>
      </c>
      <c r="AC63" t="s">
        <v>568</v>
      </c>
    </row>
    <row r="64" spans="5:29" ht="12.75">
      <c r="E64"/>
      <c r="I64" t="s">
        <v>1781</v>
      </c>
      <c r="AB64">
        <v>4</v>
      </c>
      <c r="AC64" t="s">
        <v>566</v>
      </c>
    </row>
    <row r="65" spans="5:29" ht="12.75">
      <c r="E65"/>
      <c r="I65" t="s">
        <v>1796</v>
      </c>
      <c r="AB65">
        <v>9</v>
      </c>
      <c r="AC65" t="s">
        <v>567</v>
      </c>
    </row>
    <row r="66" spans="5:9" ht="12.75">
      <c r="E66"/>
      <c r="I66" s="27" t="s">
        <v>1789</v>
      </c>
    </row>
    <row r="67" spans="2:31" ht="12.75">
      <c r="B67" s="9">
        <v>129</v>
      </c>
      <c r="C67" s="2">
        <f>B67/28.349523</f>
        <v>4.550341111559443</v>
      </c>
      <c r="D67" s="2">
        <f>C67/16</f>
        <v>0.2843963194724652</v>
      </c>
      <c r="E67" s="11" t="s">
        <v>90</v>
      </c>
      <c r="V67" s="9"/>
      <c r="W67" s="9"/>
      <c r="X67" s="9"/>
      <c r="Y67" s="2"/>
      <c r="AB67" s="53"/>
      <c r="AC67" s="53"/>
      <c r="AD67" s="53"/>
      <c r="AE67" s="53"/>
    </row>
    <row r="68" spans="2:31" ht="12.75">
      <c r="B68" s="9">
        <v>17</v>
      </c>
      <c r="C68" s="2">
        <f>B68/28.349523</f>
        <v>0.5996573557869034</v>
      </c>
      <c r="D68" s="2">
        <f>C68/16</f>
        <v>0.03747858473668146</v>
      </c>
      <c r="E68" s="12" t="s">
        <v>1473</v>
      </c>
      <c r="K68" s="33"/>
      <c r="AB68" s="53"/>
      <c r="AC68" s="53"/>
      <c r="AD68" s="53"/>
      <c r="AE68" s="53"/>
    </row>
    <row r="69" spans="2:5" ht="12.75">
      <c r="B69" s="9">
        <v>5</v>
      </c>
      <c r="C69" s="2">
        <f>B69/28.349523</f>
        <v>0.1763698105255598</v>
      </c>
      <c r="D69" s="2">
        <f>C69/16</f>
        <v>0.011023113157847488</v>
      </c>
      <c r="E69" s="11" t="s">
        <v>1064</v>
      </c>
    </row>
    <row r="70" spans="2:5" ht="12.75">
      <c r="B70" s="9">
        <v>33</v>
      </c>
      <c r="C70" s="2">
        <f>B70/28.349523</f>
        <v>1.1640407494686946</v>
      </c>
      <c r="D70" s="2">
        <f>C70/16</f>
        <v>0.07275254684179341</v>
      </c>
      <c r="E70" s="11" t="s">
        <v>1479</v>
      </c>
    </row>
    <row r="71" spans="2:5" ht="12.75">
      <c r="B71" s="9">
        <v>66</v>
      </c>
      <c r="C71" s="2">
        <f>B71/28.349523</f>
        <v>2.3280814989373892</v>
      </c>
      <c r="D71" s="2">
        <f>C71/16</f>
        <v>0.14550509368358683</v>
      </c>
      <c r="E71" s="11" t="s">
        <v>944</v>
      </c>
    </row>
    <row r="72" spans="2:12" ht="12.75">
      <c r="B72" s="9"/>
      <c r="C72" s="2"/>
      <c r="D72" s="2"/>
      <c r="E72" s="11"/>
      <c r="L72" s="27"/>
    </row>
    <row r="73" spans="2:7" ht="12.75">
      <c r="B73" s="9">
        <v>290</v>
      </c>
      <c r="C73" s="2">
        <f>B73/28.349523</f>
        <v>10.229449010482469</v>
      </c>
      <c r="D73" s="2">
        <f>C73/16</f>
        <v>0.6393405631551543</v>
      </c>
      <c r="E73" s="4" t="s">
        <v>1986</v>
      </c>
      <c r="F73" s="3"/>
      <c r="G73" t="s">
        <v>192</v>
      </c>
    </row>
    <row r="74" spans="2:5" ht="12.75">
      <c r="B74" s="9">
        <v>87</v>
      </c>
      <c r="C74" s="2">
        <f>B74/28.349523</f>
        <v>3.0688347031447405</v>
      </c>
      <c r="D74" s="3">
        <f>C74/16</f>
        <v>0.19180216894654628</v>
      </c>
      <c r="E74" t="s">
        <v>373</v>
      </c>
    </row>
    <row r="75" spans="2:5" ht="12.75">
      <c r="B75" s="16">
        <v>39</v>
      </c>
      <c r="C75" s="3">
        <f aca="true" t="shared" si="18" ref="C75:C83">B75/28.349523</f>
        <v>1.3756845220993665</v>
      </c>
      <c r="D75" s="3">
        <f aca="true" t="shared" si="19" ref="D75:D83">C75/16</f>
        <v>0.08598028263121041</v>
      </c>
      <c r="E75" s="4" t="s">
        <v>1825</v>
      </c>
    </row>
    <row r="76" spans="2:5" ht="12.75">
      <c r="B76" s="9">
        <v>10</v>
      </c>
      <c r="C76" s="3">
        <f t="shared" si="18"/>
        <v>0.3527396210511196</v>
      </c>
      <c r="D76" s="3">
        <f t="shared" si="19"/>
        <v>0.022046226315694976</v>
      </c>
      <c r="E76" s="11" t="s">
        <v>987</v>
      </c>
    </row>
    <row r="77" spans="2:5" ht="12.75">
      <c r="B77">
        <v>28</v>
      </c>
      <c r="C77" s="3">
        <f t="shared" si="18"/>
        <v>0.987670938943135</v>
      </c>
      <c r="D77" s="3">
        <f t="shared" si="19"/>
        <v>0.061729433683945935</v>
      </c>
      <c r="E77" s="13" t="s">
        <v>776</v>
      </c>
    </row>
    <row r="78" spans="2:5" ht="12.75">
      <c r="B78">
        <f>187+37</f>
        <v>224</v>
      </c>
      <c r="C78" s="3">
        <f t="shared" si="18"/>
        <v>7.90136751154508</v>
      </c>
      <c r="D78" s="3">
        <f t="shared" si="19"/>
        <v>0.4938354694715675</v>
      </c>
      <c r="E78" s="13" t="s">
        <v>999</v>
      </c>
    </row>
    <row r="79" spans="2:5" ht="12.75">
      <c r="B79" s="9">
        <v>324</v>
      </c>
      <c r="C79" s="2">
        <f t="shared" si="18"/>
        <v>11.428763722056276</v>
      </c>
      <c r="D79" s="2">
        <f t="shared" si="19"/>
        <v>0.7142977326285173</v>
      </c>
      <c r="E79" s="12" t="s">
        <v>1170</v>
      </c>
    </row>
    <row r="80" spans="2:5" ht="12.75">
      <c r="B80" s="9">
        <v>96</v>
      </c>
      <c r="C80" s="2">
        <f t="shared" si="18"/>
        <v>3.3863003620907484</v>
      </c>
      <c r="D80" s="2">
        <f t="shared" si="19"/>
        <v>0.21164377263067177</v>
      </c>
      <c r="E80" s="12" t="s">
        <v>93</v>
      </c>
    </row>
    <row r="81" spans="2:6" ht="12.75">
      <c r="B81" s="9">
        <v>26</v>
      </c>
      <c r="C81" s="2">
        <f t="shared" si="18"/>
        <v>0.917123014732911</v>
      </c>
      <c r="D81" s="2">
        <f t="shared" si="19"/>
        <v>0.05732018842080694</v>
      </c>
      <c r="E81" s="11" t="s">
        <v>1784</v>
      </c>
      <c r="F81" s="3"/>
    </row>
    <row r="82" spans="2:5" ht="12.75">
      <c r="B82" s="9"/>
      <c r="C82" s="2"/>
      <c r="D82" s="2"/>
      <c r="E82" s="11"/>
    </row>
    <row r="83" spans="2:8" ht="12.75">
      <c r="B83" s="9">
        <f>SUM(B3:B82)</f>
        <v>9543</v>
      </c>
      <c r="C83" s="2">
        <f t="shared" si="18"/>
        <v>336.61942036908346</v>
      </c>
      <c r="D83" s="2">
        <f t="shared" si="19"/>
        <v>21.038713773067716</v>
      </c>
      <c r="E83" s="11" t="s">
        <v>338</v>
      </c>
      <c r="G83">
        <f>COUNT(B3:B82)</f>
        <v>64</v>
      </c>
      <c r="H83" t="s">
        <v>38</v>
      </c>
    </row>
    <row r="85" spans="2:5" ht="12.75">
      <c r="B85" s="9"/>
      <c r="C85" s="2"/>
      <c r="D85" s="2"/>
      <c r="E85" s="12" t="s">
        <v>1025</v>
      </c>
    </row>
    <row r="86" spans="2:5" ht="12.75">
      <c r="B86" s="9">
        <v>50</v>
      </c>
      <c r="C86" s="2">
        <f aca="true" t="shared" si="20" ref="C86:C99">B86/28.349523</f>
        <v>1.763698105255598</v>
      </c>
      <c r="D86" s="2">
        <f aca="true" t="shared" si="21" ref="D86:D99">C86/16</f>
        <v>0.11023113157847488</v>
      </c>
      <c r="E86" s="12" t="s">
        <v>318</v>
      </c>
    </row>
    <row r="87" spans="2:5" ht="12.75">
      <c r="B87" s="9">
        <v>107</v>
      </c>
      <c r="C87" s="2">
        <f t="shared" si="20"/>
        <v>3.7743139452469796</v>
      </c>
      <c r="D87" s="2">
        <f t="shared" si="21"/>
        <v>0.23589462157793623</v>
      </c>
      <c r="E87" t="s">
        <v>1554</v>
      </c>
    </row>
    <row r="88" spans="2:5" ht="12.75">
      <c r="B88" s="9">
        <v>35</v>
      </c>
      <c r="C88" s="2">
        <f t="shared" si="20"/>
        <v>1.2345886736789187</v>
      </c>
      <c r="D88" s="2">
        <f t="shared" si="21"/>
        <v>0.07716179210493242</v>
      </c>
      <c r="E88" s="12" t="s">
        <v>321</v>
      </c>
    </row>
    <row r="89" spans="2:5" ht="12.75">
      <c r="B89" s="9">
        <v>141</v>
      </c>
      <c r="C89" s="2">
        <f t="shared" si="20"/>
        <v>4.973628656820787</v>
      </c>
      <c r="D89" s="2">
        <f t="shared" si="21"/>
        <v>0.3108517910512992</v>
      </c>
      <c r="E89" s="12" t="s">
        <v>1172</v>
      </c>
    </row>
    <row r="90" spans="2:5" ht="12.75">
      <c r="B90" s="9">
        <v>55</v>
      </c>
      <c r="C90" s="2">
        <f t="shared" si="20"/>
        <v>1.9400679157811578</v>
      </c>
      <c r="D90" s="2">
        <f t="shared" si="21"/>
        <v>0.12125424473632236</v>
      </c>
      <c r="E90" s="12" t="s">
        <v>319</v>
      </c>
    </row>
    <row r="91" spans="2:10" ht="12.75">
      <c r="B91" s="9">
        <f>B90+B89</f>
        <v>196</v>
      </c>
      <c r="C91" s="2">
        <f t="shared" si="20"/>
        <v>6.913696572601944</v>
      </c>
      <c r="D91" s="2">
        <f t="shared" si="21"/>
        <v>0.4321060357876215</v>
      </c>
      <c r="E91" t="s">
        <v>1107</v>
      </c>
      <c r="J91" s="2"/>
    </row>
    <row r="92" spans="2:12" ht="12.75">
      <c r="B92" s="9">
        <v>12</v>
      </c>
      <c r="C92" s="2">
        <f t="shared" si="20"/>
        <v>0.42328754526134355</v>
      </c>
      <c r="D92" s="2">
        <f t="shared" si="21"/>
        <v>0.02645547157883397</v>
      </c>
      <c r="E92" t="s">
        <v>1108</v>
      </c>
      <c r="I92" s="9">
        <f>B89+B90+B92</f>
        <v>208</v>
      </c>
      <c r="J92" s="2">
        <f>I92/28.349523</f>
        <v>7.336984117863288</v>
      </c>
      <c r="K92" s="3"/>
      <c r="L92" t="s">
        <v>1109</v>
      </c>
    </row>
    <row r="93" spans="2:9" ht="12.75">
      <c r="B93" s="9">
        <v>35</v>
      </c>
      <c r="C93" s="2">
        <f t="shared" si="20"/>
        <v>1.2345886736789187</v>
      </c>
      <c r="D93" s="2">
        <f t="shared" si="21"/>
        <v>0.07716179210493242</v>
      </c>
      <c r="E93" t="s">
        <v>1412</v>
      </c>
      <c r="G93" s="9"/>
      <c r="H93" s="3"/>
      <c r="I93" s="3"/>
    </row>
    <row r="94" spans="2:5" ht="12.75">
      <c r="B94" s="9">
        <v>177</v>
      </c>
      <c r="C94" s="3">
        <f>B94/28.349523</f>
        <v>6.243491292604817</v>
      </c>
      <c r="D94" s="3">
        <f>C94/16</f>
        <v>0.3902182057878011</v>
      </c>
      <c r="E94" t="s">
        <v>374</v>
      </c>
    </row>
    <row r="95" spans="2:5" ht="12.75">
      <c r="B95" s="9">
        <v>6</v>
      </c>
      <c r="C95" s="2">
        <f t="shared" si="20"/>
        <v>0.21164377263067177</v>
      </c>
      <c r="D95" s="2">
        <f t="shared" si="21"/>
        <v>0.013227735789416986</v>
      </c>
      <c r="E95" s="12" t="s">
        <v>1518</v>
      </c>
    </row>
    <row r="96" spans="2:5" ht="12.75">
      <c r="B96" s="9">
        <v>25</v>
      </c>
      <c r="C96" s="2">
        <f t="shared" si="20"/>
        <v>0.881849052627799</v>
      </c>
      <c r="D96" s="2">
        <f t="shared" si="21"/>
        <v>0.05511556578923744</v>
      </c>
      <c r="E96" t="s">
        <v>1508</v>
      </c>
    </row>
    <row r="97" spans="2:29" ht="12.75">
      <c r="B97" s="16">
        <v>53</v>
      </c>
      <c r="C97" s="2">
        <f t="shared" si="20"/>
        <v>1.869519991570934</v>
      </c>
      <c r="D97" s="2">
        <f t="shared" si="21"/>
        <v>0.11684499947318337</v>
      </c>
      <c r="E97" s="11" t="s">
        <v>1069</v>
      </c>
      <c r="AC97" s="9"/>
    </row>
    <row r="98" spans="2:29" ht="12.75">
      <c r="B98" s="9">
        <f>SUM(B86:B97)</f>
        <v>892</v>
      </c>
      <c r="C98" s="2">
        <f t="shared" si="20"/>
        <v>31.46437419775987</v>
      </c>
      <c r="D98" s="2">
        <f t="shared" si="21"/>
        <v>1.9665233873599919</v>
      </c>
      <c r="E98" s="11" t="s">
        <v>1509</v>
      </c>
      <c r="AC98" s="9"/>
    </row>
    <row r="99" spans="2:5" ht="12.75">
      <c r="B99" s="9">
        <f>B83+B98</f>
        <v>10435</v>
      </c>
      <c r="C99" s="2">
        <f t="shared" si="20"/>
        <v>368.0837945668433</v>
      </c>
      <c r="D99" s="2">
        <f t="shared" si="21"/>
        <v>23.005237160427708</v>
      </c>
      <c r="E99" s="11" t="s">
        <v>1511</v>
      </c>
    </row>
    <row r="100" spans="2:29" ht="27" customHeight="1">
      <c r="B100" s="9"/>
      <c r="C100" s="9"/>
      <c r="D100" s="2"/>
      <c r="E100" s="11"/>
      <c r="AC100" s="9"/>
    </row>
    <row r="101" spans="2:10" ht="12.75">
      <c r="B101" s="9"/>
      <c r="C101" s="2"/>
      <c r="D101" s="2"/>
      <c r="J101" t="s">
        <v>1103</v>
      </c>
    </row>
    <row r="102" spans="2:10" ht="12.75">
      <c r="B102" s="9"/>
      <c r="C102" s="2"/>
      <c r="D102" s="2"/>
      <c r="J102" t="s">
        <v>1006</v>
      </c>
    </row>
    <row r="103" spans="2:10" ht="15">
      <c r="B103" s="9" t="s">
        <v>69</v>
      </c>
      <c r="C103" s="2"/>
      <c r="D103" s="2"/>
      <c r="E103" s="11"/>
      <c r="I103" s="31"/>
      <c r="J103" t="s">
        <v>302</v>
      </c>
    </row>
    <row r="104" spans="2:9" ht="15">
      <c r="B104" s="9"/>
      <c r="C104" s="2"/>
      <c r="D104" s="2"/>
      <c r="I104" s="31"/>
    </row>
    <row r="105" spans="3:9" ht="15">
      <c r="C105" s="2"/>
      <c r="D105" s="2"/>
      <c r="E105" s="12" t="s">
        <v>1686</v>
      </c>
      <c r="I105" s="31"/>
    </row>
    <row r="106" spans="3:9" ht="15">
      <c r="C106" s="2"/>
      <c r="D106" s="2"/>
      <c r="I106" s="31"/>
    </row>
    <row r="107" spans="1:9" ht="15">
      <c r="A107" t="s">
        <v>231</v>
      </c>
      <c r="C107" s="2"/>
      <c r="D107" s="2"/>
      <c r="E107" s="12" t="s">
        <v>1695</v>
      </c>
      <c r="I107" s="31"/>
    </row>
    <row r="108" spans="1:5" ht="12.75">
      <c r="A108" t="s">
        <v>231</v>
      </c>
      <c r="B108" s="9"/>
      <c r="C108" s="2"/>
      <c r="D108" s="2"/>
      <c r="E108" s="12" t="s">
        <v>1696</v>
      </c>
    </row>
    <row r="109" spans="3:9" ht="15">
      <c r="C109" s="2"/>
      <c r="D109" s="2"/>
      <c r="E109" s="12" t="s">
        <v>1697</v>
      </c>
      <c r="I109" s="31"/>
    </row>
    <row r="110" spans="1:11" ht="15">
      <c r="A110" t="s">
        <v>231</v>
      </c>
      <c r="B110" s="9"/>
      <c r="C110" s="2"/>
      <c r="D110" s="2"/>
      <c r="E110" s="12" t="s">
        <v>1996</v>
      </c>
      <c r="I110" s="31"/>
      <c r="J110" s="49"/>
      <c r="K110" s="43"/>
    </row>
    <row r="111" spans="1:9" ht="15">
      <c r="A111" t="s">
        <v>231</v>
      </c>
      <c r="B111" s="9"/>
      <c r="C111" s="2"/>
      <c r="D111" s="2"/>
      <c r="E111" s="12" t="s">
        <v>1003</v>
      </c>
      <c r="I111" s="31"/>
    </row>
    <row r="112" spans="1:9" ht="15">
      <c r="A112" t="s">
        <v>231</v>
      </c>
      <c r="B112" s="9"/>
      <c r="C112" s="2"/>
      <c r="D112" s="2"/>
      <c r="E112" s="12" t="s">
        <v>714</v>
      </c>
      <c r="I112" s="31"/>
    </row>
    <row r="113" spans="2:5" ht="12.75">
      <c r="B113" s="9"/>
      <c r="C113" s="2"/>
      <c r="D113" s="2"/>
      <c r="E113" s="12" t="s">
        <v>1999</v>
      </c>
    </row>
    <row r="114" spans="2:9" ht="15">
      <c r="B114" s="9"/>
      <c r="C114" s="2"/>
      <c r="D114" s="2"/>
      <c r="E114" s="12" t="s">
        <v>1925</v>
      </c>
      <c r="I114" s="31"/>
    </row>
    <row r="115" spans="1:9" ht="15">
      <c r="A115" t="s">
        <v>231</v>
      </c>
      <c r="B115" s="9"/>
      <c r="C115" s="2"/>
      <c r="D115" s="2"/>
      <c r="E115" s="12" t="s">
        <v>1684</v>
      </c>
      <c r="I115" s="31"/>
    </row>
    <row r="116" spans="2:9" ht="15">
      <c r="B116" s="9"/>
      <c r="C116" s="2"/>
      <c r="D116" s="2"/>
      <c r="E116" s="12" t="s">
        <v>1698</v>
      </c>
      <c r="I116" s="31"/>
    </row>
    <row r="117" spans="2:9" ht="15">
      <c r="B117" s="9"/>
      <c r="C117" s="2"/>
      <c r="D117" s="2"/>
      <c r="E117" s="12" t="s">
        <v>1702</v>
      </c>
      <c r="I117" s="31"/>
    </row>
    <row r="118" spans="1:9" ht="15">
      <c r="A118" t="s">
        <v>231</v>
      </c>
      <c r="B118" s="9"/>
      <c r="C118" s="2"/>
      <c r="D118" s="2"/>
      <c r="E118" s="12" t="s">
        <v>1867</v>
      </c>
      <c r="I118" s="31"/>
    </row>
    <row r="119" spans="2:5" ht="12.75">
      <c r="B119" s="9"/>
      <c r="C119" s="2"/>
      <c r="D119" s="2"/>
      <c r="E119" s="11" t="s">
        <v>796</v>
      </c>
    </row>
    <row r="120" spans="2:5" ht="12.75">
      <c r="B120" s="9"/>
      <c r="C120" s="2"/>
      <c r="D120" s="2"/>
      <c r="E120" s="11" t="s">
        <v>715</v>
      </c>
    </row>
    <row r="121" spans="1:5" ht="12.75">
      <c r="A121" t="s">
        <v>231</v>
      </c>
      <c r="B121" s="9"/>
      <c r="C121" s="2"/>
      <c r="D121" s="2"/>
      <c r="E121" s="11" t="s">
        <v>1868</v>
      </c>
    </row>
    <row r="122" spans="2:5" ht="12.75">
      <c r="B122" s="9"/>
      <c r="C122" s="2"/>
      <c r="D122" s="2"/>
      <c r="E122" s="11" t="s">
        <v>1926</v>
      </c>
    </row>
    <row r="123" spans="2:5" ht="12.75">
      <c r="B123" s="9"/>
      <c r="C123" s="2"/>
      <c r="D123" s="2"/>
      <c r="E123" s="11" t="s">
        <v>1927</v>
      </c>
    </row>
    <row r="124" spans="2:5" ht="12.75">
      <c r="B124" s="9"/>
      <c r="C124" s="2"/>
      <c r="D124" s="2"/>
      <c r="E124" s="11" t="s">
        <v>1330</v>
      </c>
    </row>
    <row r="125" spans="1:5" ht="12.75">
      <c r="A125" t="s">
        <v>231</v>
      </c>
      <c r="B125" s="9"/>
      <c r="C125" s="2"/>
      <c r="D125" s="2"/>
      <c r="E125" s="11" t="s">
        <v>3</v>
      </c>
    </row>
    <row r="126" spans="1:5" ht="12.75">
      <c r="A126" t="s">
        <v>231</v>
      </c>
      <c r="B126" s="9"/>
      <c r="C126" s="2"/>
      <c r="D126" s="2"/>
      <c r="E126" s="11" t="s">
        <v>1004</v>
      </c>
    </row>
    <row r="127" spans="1:5" ht="12.75">
      <c r="A127" t="s">
        <v>231</v>
      </c>
      <c r="E127" s="11" t="s">
        <v>1005</v>
      </c>
    </row>
    <row r="128" spans="2:9" ht="15">
      <c r="B128" s="9"/>
      <c r="C128" s="2"/>
      <c r="D128" s="2"/>
      <c r="E128" s="11" t="s">
        <v>1685</v>
      </c>
      <c r="I128" s="31"/>
    </row>
    <row r="129" spans="2:9" ht="15">
      <c r="B129" s="9"/>
      <c r="C129" s="2"/>
      <c r="D129" s="2"/>
      <c r="E129" s="11" t="s">
        <v>1066</v>
      </c>
      <c r="I129" s="31"/>
    </row>
    <row r="130" spans="2:5" ht="12.75">
      <c r="B130" s="9"/>
      <c r="C130" s="2"/>
      <c r="D130" s="2"/>
      <c r="E130" s="11" t="s">
        <v>1413</v>
      </c>
    </row>
    <row r="131" ht="12.75">
      <c r="E131" s="11" t="s">
        <v>1611</v>
      </c>
    </row>
    <row r="132" ht="12.75">
      <c r="E132" s="11" t="s">
        <v>1341</v>
      </c>
    </row>
    <row r="133" ht="12.75">
      <c r="E133" s="11" t="s">
        <v>1342</v>
      </c>
    </row>
    <row r="134" ht="12.75">
      <c r="E134" s="11" t="s">
        <v>1340</v>
      </c>
    </row>
    <row r="135" spans="1:5" ht="12.75">
      <c r="A135" t="s">
        <v>231</v>
      </c>
      <c r="E135" s="12" t="s">
        <v>1306</v>
      </c>
    </row>
    <row r="136" ht="12.75">
      <c r="E136" s="12" t="s">
        <v>1307</v>
      </c>
    </row>
    <row r="137" spans="1:5" ht="12.75">
      <c r="A137" t="s">
        <v>231</v>
      </c>
      <c r="E137" s="12" t="s">
        <v>1007</v>
      </c>
    </row>
    <row r="138" ht="12.75">
      <c r="E138" s="12" t="s">
        <v>221</v>
      </c>
    </row>
    <row r="139" ht="12.75">
      <c r="E139" s="12" t="s">
        <v>1865</v>
      </c>
    </row>
    <row r="140" ht="12.75">
      <c r="E140" s="11" t="s">
        <v>250</v>
      </c>
    </row>
    <row r="141" ht="12.75">
      <c r="E141" s="11" t="s">
        <v>1008</v>
      </c>
    </row>
    <row r="142" ht="12.75">
      <c r="E142" s="11" t="s">
        <v>1072</v>
      </c>
    </row>
    <row r="143" ht="12.75">
      <c r="E143" s="11" t="s">
        <v>1866</v>
      </c>
    </row>
    <row r="144" spans="1:5" ht="12.75">
      <c r="A144" t="s">
        <v>231</v>
      </c>
      <c r="E144" s="11" t="s">
        <v>1869</v>
      </c>
    </row>
    <row r="145" spans="1:5" ht="12.75">
      <c r="A145" t="s">
        <v>231</v>
      </c>
      <c r="E145" s="11" t="s">
        <v>1304</v>
      </c>
    </row>
    <row r="146" spans="1:5" ht="12.75">
      <c r="A146" t="s">
        <v>231</v>
      </c>
      <c r="E146" s="11" t="s">
        <v>1870</v>
      </c>
    </row>
    <row r="147" spans="1:5" ht="12.75">
      <c r="A147" t="s">
        <v>231</v>
      </c>
      <c r="B147" s="9"/>
      <c r="E147" s="11" t="s">
        <v>1871</v>
      </c>
    </row>
    <row r="148" spans="1:5" ht="12.75">
      <c r="A148" t="s">
        <v>231</v>
      </c>
      <c r="B148" s="9"/>
      <c r="E148" s="11" t="s">
        <v>1872</v>
      </c>
    </row>
    <row r="149" spans="1:5" ht="12.75">
      <c r="A149" t="s">
        <v>231</v>
      </c>
      <c r="E149" s="11" t="s">
        <v>1873</v>
      </c>
    </row>
    <row r="150" spans="2:5" ht="12.75">
      <c r="B150" s="9">
        <v>40</v>
      </c>
      <c r="E150" s="11" t="s">
        <v>1874</v>
      </c>
    </row>
    <row r="151" spans="2:5" ht="12.75">
      <c r="B151" s="9">
        <v>26</v>
      </c>
      <c r="E151" s="11" t="s">
        <v>1875</v>
      </c>
    </row>
    <row r="152" spans="2:5" ht="12.75">
      <c r="B152" s="9">
        <v>112</v>
      </c>
      <c r="E152" s="11" t="s">
        <v>1876</v>
      </c>
    </row>
    <row r="153" spans="2:5" ht="12.75">
      <c r="B153" s="9"/>
      <c r="E153" s="11" t="s">
        <v>1877</v>
      </c>
    </row>
    <row r="154" ht="12.75">
      <c r="E154" s="11" t="s">
        <v>1878</v>
      </c>
    </row>
    <row r="155" ht="12.75">
      <c r="E155" s="11" t="s">
        <v>1879</v>
      </c>
    </row>
    <row r="156" ht="12.75">
      <c r="E156" s="11" t="s">
        <v>1880</v>
      </c>
    </row>
    <row r="157" ht="12.75">
      <c r="E157" s="13" t="s">
        <v>1881</v>
      </c>
    </row>
    <row r="158" spans="1:5" ht="12.75">
      <c r="A158" s="9"/>
      <c r="E158" s="11" t="s">
        <v>1882</v>
      </c>
    </row>
    <row r="159" ht="12.75">
      <c r="E159" s="11" t="s">
        <v>1883</v>
      </c>
    </row>
    <row r="160" spans="2:5" ht="12.75">
      <c r="B160" s="9"/>
      <c r="C160" s="2"/>
      <c r="D160" s="2"/>
      <c r="E160" s="11" t="s">
        <v>1884</v>
      </c>
    </row>
    <row r="161" spans="2:5" ht="12.75">
      <c r="B161" s="9"/>
      <c r="C161" s="2"/>
      <c r="D161" s="2"/>
      <c r="E161" s="11" t="s">
        <v>1885</v>
      </c>
    </row>
    <row r="162" spans="2:5" ht="12.75">
      <c r="B162" s="9"/>
      <c r="C162" s="2"/>
      <c r="D162" s="2"/>
      <c r="E162" s="11" t="s">
        <v>1599</v>
      </c>
    </row>
    <row r="163" spans="2:9" ht="15">
      <c r="B163" s="9">
        <v>57</v>
      </c>
      <c r="C163" s="2">
        <f>B163/28.349523</f>
        <v>2.010615839991382</v>
      </c>
      <c r="D163" s="2">
        <f>C163/16</f>
        <v>0.12566348999946136</v>
      </c>
      <c r="E163" s="12" t="s">
        <v>1955</v>
      </c>
      <c r="I163" s="31"/>
    </row>
    <row r="164" spans="2:9" ht="15">
      <c r="B164" s="9">
        <f>112</f>
        <v>112</v>
      </c>
      <c r="C164" s="2">
        <f>B164/28.349523</f>
        <v>3.95068375577254</v>
      </c>
      <c r="D164" s="2">
        <f>C164/16</f>
        <v>0.24691773473578374</v>
      </c>
      <c r="E164" s="12" t="s">
        <v>494</v>
      </c>
      <c r="I164" s="31"/>
    </row>
    <row r="165" spans="2:4" ht="12.75">
      <c r="B165" s="9"/>
      <c r="C165" s="2"/>
      <c r="D165" s="2"/>
    </row>
    <row r="166" spans="2:5" ht="12.75">
      <c r="B166" s="9"/>
      <c r="C166" s="2"/>
      <c r="D166" s="2"/>
      <c r="E166" s="4"/>
    </row>
    <row r="167" spans="2:4" ht="12.75">
      <c r="B167" s="9"/>
      <c r="C167" s="2"/>
      <c r="D167" s="2"/>
    </row>
    <row r="168" spans="2:4" ht="12.75">
      <c r="B168" s="9"/>
      <c r="C168" s="2"/>
      <c r="D168" s="2"/>
    </row>
    <row r="169" spans="2:4" ht="12.75">
      <c r="B169" s="9"/>
      <c r="C169" s="2"/>
      <c r="D169" s="2"/>
    </row>
    <row r="170" spans="2:4" ht="12.75">
      <c r="B170" s="9"/>
      <c r="C170" s="2"/>
      <c r="D170" s="2"/>
    </row>
    <row r="171" spans="2:4" ht="12.75">
      <c r="B171" s="9"/>
      <c r="C171" s="2"/>
      <c r="D171" s="2"/>
    </row>
    <row r="172" spans="2:4" ht="12.75">
      <c r="B172" s="9"/>
      <c r="C172" s="2"/>
      <c r="D172" s="2"/>
    </row>
    <row r="173" spans="2:5" ht="12.75">
      <c r="B173" s="9"/>
      <c r="C173" s="2"/>
      <c r="D173" s="2"/>
      <c r="E173" s="11"/>
    </row>
    <row r="174" spans="2:4" ht="12.75">
      <c r="B174" s="9"/>
      <c r="C174" s="2"/>
      <c r="D174" s="2"/>
    </row>
    <row r="175" spans="2:4" ht="12.75">
      <c r="B175" s="9"/>
      <c r="C175" s="2"/>
      <c r="D175" s="2"/>
    </row>
    <row r="176" spans="2:4" ht="12.75">
      <c r="B176" s="16"/>
      <c r="C176" s="2"/>
      <c r="D176" s="2"/>
    </row>
    <row r="177" spans="2:4" ht="12.75">
      <c r="B177" s="9"/>
      <c r="C177" s="2"/>
      <c r="D177" s="2"/>
    </row>
    <row r="178" spans="2:5" ht="12.75">
      <c r="B178" s="9"/>
      <c r="C178" s="2"/>
      <c r="D178" s="2"/>
      <c r="E178" s="11"/>
    </row>
    <row r="179" spans="2:5" ht="12.75">
      <c r="B179" s="9"/>
      <c r="C179" s="2"/>
      <c r="D179" s="2"/>
      <c r="E179" s="11"/>
    </row>
    <row r="180" spans="2:5" ht="12.75">
      <c r="B180" s="9"/>
      <c r="C180" s="2"/>
      <c r="D180" s="2"/>
      <c r="E180" s="11"/>
    </row>
    <row r="181" spans="2:5" ht="12.75">
      <c r="B181" s="16"/>
      <c r="C181" s="2"/>
      <c r="D181" s="2"/>
      <c r="E181" s="13"/>
    </row>
    <row r="182" spans="2:4" ht="12.75">
      <c r="B182" s="9"/>
      <c r="C182" s="2"/>
      <c r="D182" s="2"/>
    </row>
    <row r="183" ht="12.75">
      <c r="B183" s="9"/>
    </row>
    <row r="184" ht="12.75">
      <c r="B184" s="9"/>
    </row>
    <row r="185" ht="12.75">
      <c r="B185" s="9"/>
    </row>
    <row r="186" ht="12.75">
      <c r="B186" s="9"/>
    </row>
    <row r="187" ht="12.75">
      <c r="B187" s="9"/>
    </row>
    <row r="188" ht="12.75">
      <c r="B188" s="9"/>
    </row>
    <row r="189" ht="12.75">
      <c r="B189" s="9"/>
    </row>
    <row r="190" ht="12.75">
      <c r="B190" s="9"/>
    </row>
    <row r="191" ht="12.75">
      <c r="B191" s="9"/>
    </row>
    <row r="192" ht="12.75">
      <c r="B192" s="9"/>
    </row>
    <row r="193" ht="12.75">
      <c r="B193" s="9"/>
    </row>
    <row r="194" ht="12.75">
      <c r="B194" s="9"/>
    </row>
  </sheetData>
  <printOptions/>
  <pageMargins left="0.75" right="0.75" top="0.32" bottom="0.23" header="0.21" footer="0.2"/>
  <pageSetup orientation="portrait" r:id="rId1"/>
</worksheet>
</file>

<file path=xl/worksheets/sheet25.xml><?xml version="1.0" encoding="utf-8"?>
<worksheet xmlns="http://schemas.openxmlformats.org/spreadsheetml/2006/main" xmlns:r="http://schemas.openxmlformats.org/officeDocument/2006/relationships">
  <dimension ref="A1:D101"/>
  <sheetViews>
    <sheetView workbookViewId="0" topLeftCell="A1">
      <pane ySplit="1" topLeftCell="BM29" activePane="bottomLeft" state="frozen"/>
      <selection pane="topLeft" activeCell="A1" sqref="A1"/>
      <selection pane="bottomLeft" activeCell="A72" sqref="A72"/>
    </sheetView>
  </sheetViews>
  <sheetFormatPr defaultColWidth="9.140625" defaultRowHeight="12.75"/>
  <cols>
    <col min="4" max="4" width="41.28125" style="0" customWidth="1"/>
  </cols>
  <sheetData>
    <row r="1" spans="1:3" ht="12.75">
      <c r="A1" t="s">
        <v>467</v>
      </c>
      <c r="C1" t="s">
        <v>468</v>
      </c>
    </row>
    <row r="2" spans="1:4" ht="12.75">
      <c r="A2" s="54" t="s">
        <v>231</v>
      </c>
      <c r="B2" s="57"/>
      <c r="C2" s="55"/>
      <c r="D2" s="56" t="s">
        <v>714</v>
      </c>
    </row>
    <row r="3" spans="1:4" ht="12.75">
      <c r="A3" s="54" t="s">
        <v>231</v>
      </c>
      <c r="B3" s="57"/>
      <c r="C3" s="55"/>
      <c r="D3" s="56" t="s">
        <v>960</v>
      </c>
    </row>
    <row r="4" spans="1:4" ht="12.75">
      <c r="A4" s="54" t="s">
        <v>231</v>
      </c>
      <c r="B4" s="57"/>
      <c r="C4" s="55"/>
      <c r="D4" s="58" t="s">
        <v>2043</v>
      </c>
    </row>
    <row r="5" spans="1:4" ht="12.75">
      <c r="A5" s="54" t="s">
        <v>231</v>
      </c>
      <c r="B5" s="57"/>
      <c r="C5" s="55"/>
      <c r="D5" s="58" t="s">
        <v>2038</v>
      </c>
    </row>
    <row r="6" spans="1:4" ht="12.75">
      <c r="A6" s="54" t="s">
        <v>231</v>
      </c>
      <c r="B6" s="54"/>
      <c r="C6" s="54"/>
      <c r="D6" s="58" t="s">
        <v>1879</v>
      </c>
    </row>
    <row r="7" spans="1:4" ht="12.75">
      <c r="A7" s="54" t="s">
        <v>231</v>
      </c>
      <c r="B7" s="57"/>
      <c r="C7" s="54"/>
      <c r="D7" s="58" t="s">
        <v>1671</v>
      </c>
    </row>
    <row r="8" spans="1:4" ht="12.75">
      <c r="A8" s="54" t="s">
        <v>231</v>
      </c>
      <c r="B8" s="57"/>
      <c r="C8" s="55"/>
      <c r="D8" s="58" t="s">
        <v>2036</v>
      </c>
    </row>
    <row r="9" spans="1:4" ht="12.75">
      <c r="A9" s="54" t="s">
        <v>231</v>
      </c>
      <c r="B9" s="57"/>
      <c r="C9" s="54"/>
      <c r="D9" s="58" t="s">
        <v>2030</v>
      </c>
    </row>
    <row r="10" spans="1:4" ht="12.75">
      <c r="A10" s="54" t="s">
        <v>231</v>
      </c>
      <c r="B10" s="57"/>
      <c r="C10" s="55"/>
      <c r="D10" s="58" t="s">
        <v>1868</v>
      </c>
    </row>
    <row r="11" spans="1:4" ht="12.75">
      <c r="A11" s="54" t="s">
        <v>231</v>
      </c>
      <c r="B11" s="57"/>
      <c r="C11" s="55"/>
      <c r="D11" s="56" t="s">
        <v>1684</v>
      </c>
    </row>
    <row r="12" spans="1:4" ht="12.75">
      <c r="A12" s="54" t="s">
        <v>231</v>
      </c>
      <c r="B12" s="57"/>
      <c r="C12" s="55"/>
      <c r="D12" s="56" t="s">
        <v>1955</v>
      </c>
    </row>
    <row r="13" spans="1:4" ht="12.75">
      <c r="A13" s="54" t="s">
        <v>231</v>
      </c>
      <c r="B13" s="57"/>
      <c r="C13" s="55"/>
      <c r="D13" s="58" t="s">
        <v>3</v>
      </c>
    </row>
    <row r="14" spans="1:4" ht="12.75">
      <c r="A14" s="54" t="s">
        <v>231</v>
      </c>
      <c r="B14" s="54"/>
      <c r="C14" s="54"/>
      <c r="D14" s="56" t="s">
        <v>1007</v>
      </c>
    </row>
    <row r="15" spans="1:4" ht="12.75">
      <c r="A15" s="54" t="s">
        <v>231</v>
      </c>
      <c r="B15" s="57"/>
      <c r="C15" s="55"/>
      <c r="D15" s="58" t="s">
        <v>2044</v>
      </c>
    </row>
    <row r="16" spans="1:4" ht="12.75">
      <c r="A16" s="54" t="s">
        <v>231</v>
      </c>
      <c r="B16" s="57"/>
      <c r="C16" s="55"/>
      <c r="D16" s="58" t="s">
        <v>2040</v>
      </c>
    </row>
    <row r="17" spans="1:4" ht="12.75">
      <c r="A17" s="54" t="s">
        <v>231</v>
      </c>
      <c r="B17" s="54"/>
      <c r="C17" s="54"/>
      <c r="D17" s="58" t="s">
        <v>1870</v>
      </c>
    </row>
    <row r="18" spans="1:4" ht="12.75">
      <c r="A18" s="54" t="s">
        <v>231</v>
      </c>
      <c r="B18" s="54"/>
      <c r="C18" s="54"/>
      <c r="D18" s="59" t="s">
        <v>1881</v>
      </c>
    </row>
    <row r="19" spans="1:4" ht="12.75">
      <c r="A19" s="54" t="s">
        <v>231</v>
      </c>
      <c r="B19" s="57"/>
      <c r="C19" s="55"/>
      <c r="D19" s="58" t="s">
        <v>2041</v>
      </c>
    </row>
    <row r="20" spans="1:4" ht="12.75">
      <c r="A20" s="54" t="s">
        <v>231</v>
      </c>
      <c r="B20" s="57"/>
      <c r="C20" s="55"/>
      <c r="D20" s="58" t="s">
        <v>2031</v>
      </c>
    </row>
    <row r="21" spans="1:4" ht="12.75">
      <c r="A21" s="54" t="s">
        <v>231</v>
      </c>
      <c r="B21" s="54"/>
      <c r="C21" s="54"/>
      <c r="D21" s="56" t="s">
        <v>221</v>
      </c>
    </row>
    <row r="22" spans="1:4" ht="12.75">
      <c r="A22" s="54" t="s">
        <v>231</v>
      </c>
      <c r="B22" s="57"/>
      <c r="C22" s="55"/>
      <c r="D22" s="58" t="s">
        <v>2039</v>
      </c>
    </row>
    <row r="23" spans="1:4" ht="12.75">
      <c r="A23" s="54" t="s">
        <v>231</v>
      </c>
      <c r="B23" s="57"/>
      <c r="C23" s="55"/>
      <c r="D23" s="58" t="s">
        <v>1885</v>
      </c>
    </row>
    <row r="24" spans="1:4" ht="12.75">
      <c r="A24" s="54" t="s">
        <v>231</v>
      </c>
      <c r="B24" s="57"/>
      <c r="C24" s="55"/>
      <c r="D24" s="58" t="s">
        <v>1878</v>
      </c>
    </row>
    <row r="25" spans="1:4" ht="12.75">
      <c r="A25" s="54" t="s">
        <v>231</v>
      </c>
      <c r="B25" s="57"/>
      <c r="C25" s="55"/>
      <c r="D25" s="58" t="s">
        <v>1004</v>
      </c>
    </row>
    <row r="26" spans="1:4" ht="12.75">
      <c r="A26" s="54" t="s">
        <v>231</v>
      </c>
      <c r="B26" s="57"/>
      <c r="C26" s="55"/>
      <c r="D26" s="56" t="s">
        <v>494</v>
      </c>
    </row>
    <row r="27" spans="1:4" ht="12.75">
      <c r="A27" s="54" t="s">
        <v>231</v>
      </c>
      <c r="B27" s="57"/>
      <c r="C27" s="55"/>
      <c r="D27" s="58" t="s">
        <v>488</v>
      </c>
    </row>
    <row r="28" spans="1:4" ht="12.75">
      <c r="A28" s="54" t="s">
        <v>231</v>
      </c>
      <c r="B28" s="54"/>
      <c r="C28" s="54"/>
      <c r="D28" s="58" t="s">
        <v>1866</v>
      </c>
    </row>
    <row r="29" spans="1:4" ht="12.75">
      <c r="A29" s="54" t="s">
        <v>231</v>
      </c>
      <c r="B29" s="57"/>
      <c r="C29" s="55"/>
      <c r="D29" s="58" t="s">
        <v>1883</v>
      </c>
    </row>
    <row r="30" spans="1:4" ht="12.75">
      <c r="A30" s="54" t="s">
        <v>231</v>
      </c>
      <c r="B30" s="57"/>
      <c r="C30" s="55"/>
      <c r="D30" s="58" t="s">
        <v>2033</v>
      </c>
    </row>
    <row r="31" spans="1:4" ht="12.75">
      <c r="A31" s="54" t="s">
        <v>231</v>
      </c>
      <c r="B31" s="57"/>
      <c r="C31" s="55"/>
      <c r="D31" s="58" t="s">
        <v>1884</v>
      </c>
    </row>
    <row r="32" spans="1:4" ht="12.75">
      <c r="A32" s="57" t="s">
        <v>231</v>
      </c>
      <c r="B32" s="54"/>
      <c r="C32" s="54"/>
      <c r="D32" s="58" t="s">
        <v>1882</v>
      </c>
    </row>
    <row r="33" spans="1:4" ht="12.75">
      <c r="A33" s="54" t="s">
        <v>231</v>
      </c>
      <c r="B33" s="57"/>
      <c r="C33" s="55"/>
      <c r="D33" s="58" t="s">
        <v>2035</v>
      </c>
    </row>
    <row r="34" spans="1:4" ht="12.75">
      <c r="A34" s="54" t="s">
        <v>231</v>
      </c>
      <c r="B34" s="57"/>
      <c r="C34" s="55"/>
      <c r="D34" s="58" t="s">
        <v>2037</v>
      </c>
    </row>
    <row r="35" spans="1:4" ht="12.75">
      <c r="A35" s="54" t="s">
        <v>231</v>
      </c>
      <c r="B35" s="57"/>
      <c r="C35" s="54"/>
      <c r="D35" s="58" t="s">
        <v>2045</v>
      </c>
    </row>
    <row r="36" spans="1:4" ht="12.75">
      <c r="A36" s="54" t="s">
        <v>231</v>
      </c>
      <c r="B36" s="54"/>
      <c r="C36" s="54"/>
      <c r="D36" s="56" t="s">
        <v>1306</v>
      </c>
    </row>
    <row r="37" spans="1:4" ht="12.75">
      <c r="A37" s="54" t="s">
        <v>231</v>
      </c>
      <c r="B37" s="57"/>
      <c r="C37" s="55"/>
      <c r="D37" s="58" t="s">
        <v>2034</v>
      </c>
    </row>
    <row r="38" spans="1:4" ht="12.75">
      <c r="A38" s="54" t="s">
        <v>231</v>
      </c>
      <c r="B38" s="57"/>
      <c r="C38" s="55"/>
      <c r="D38" s="56" t="s">
        <v>962</v>
      </c>
    </row>
    <row r="39" spans="1:4" ht="12.75">
      <c r="A39" s="54" t="s">
        <v>231</v>
      </c>
      <c r="B39" s="54"/>
      <c r="C39" s="54"/>
      <c r="D39" s="58" t="s">
        <v>961</v>
      </c>
    </row>
    <row r="40" spans="1:4" ht="12.75">
      <c r="A40" s="54" t="s">
        <v>231</v>
      </c>
      <c r="B40" s="54"/>
      <c r="C40" s="54"/>
      <c r="D40" s="56" t="s">
        <v>2046</v>
      </c>
    </row>
    <row r="41" spans="1:4" ht="12.75">
      <c r="A41" s="54" t="s">
        <v>231</v>
      </c>
      <c r="B41" s="57"/>
      <c r="C41" s="55"/>
      <c r="D41" s="58" t="s">
        <v>2047</v>
      </c>
    </row>
    <row r="42" spans="1:4" ht="12.75">
      <c r="A42" s="54"/>
      <c r="B42" s="57"/>
      <c r="C42" s="55"/>
      <c r="D42" s="58"/>
    </row>
    <row r="43" spans="1:4" ht="12.75">
      <c r="A43" s="54"/>
      <c r="B43" s="57"/>
      <c r="C43" s="55"/>
      <c r="D43" s="58"/>
    </row>
    <row r="44" spans="1:4" ht="12.75">
      <c r="A44" s="54"/>
      <c r="B44" s="57"/>
      <c r="C44" s="55"/>
      <c r="D44" s="58"/>
    </row>
    <row r="45" spans="1:4" ht="12.75">
      <c r="A45" s="54"/>
      <c r="B45" s="57"/>
      <c r="C45" s="55"/>
      <c r="D45" s="58"/>
    </row>
    <row r="46" spans="1:4" ht="12.75">
      <c r="A46" s="54"/>
      <c r="B46" s="57"/>
      <c r="C46" s="55"/>
      <c r="D46" s="58"/>
    </row>
    <row r="47" spans="1:4" ht="12.75">
      <c r="A47" s="54"/>
      <c r="B47" s="57"/>
      <c r="C47" s="55"/>
      <c r="D47" s="58"/>
    </row>
    <row r="48" spans="1:4" ht="12.75">
      <c r="A48" s="54"/>
      <c r="B48" s="57"/>
      <c r="C48" s="55"/>
      <c r="D48" s="58"/>
    </row>
    <row r="49" spans="1:4" ht="12.75">
      <c r="A49" s="54"/>
      <c r="B49" s="57"/>
      <c r="C49" s="55"/>
      <c r="D49" s="58"/>
    </row>
    <row r="50" spans="1:4" ht="12.75">
      <c r="A50" s="54"/>
      <c r="B50" s="57"/>
      <c r="C50" s="55"/>
      <c r="D50" s="58"/>
    </row>
    <row r="51" spans="1:4" ht="12.75">
      <c r="A51" s="54"/>
      <c r="B51" s="57"/>
      <c r="C51" s="55"/>
      <c r="D51" s="58"/>
    </row>
    <row r="52" spans="1:4" ht="12.75">
      <c r="A52" s="54"/>
      <c r="B52" s="57"/>
      <c r="C52" s="55"/>
      <c r="D52" s="58"/>
    </row>
    <row r="53" spans="1:4" ht="12.75">
      <c r="A53" s="54"/>
      <c r="B53" s="57"/>
      <c r="C53" s="55"/>
      <c r="D53" s="58"/>
    </row>
    <row r="54" spans="1:4" ht="12.75">
      <c r="A54" s="54"/>
      <c r="B54" s="57"/>
      <c r="C54" s="55"/>
      <c r="D54" s="58"/>
    </row>
    <row r="55" spans="1:4" ht="12.75">
      <c r="A55" s="54"/>
      <c r="B55" s="57"/>
      <c r="C55" s="55"/>
      <c r="D55" s="58"/>
    </row>
    <row r="56" spans="1:4" ht="12.75">
      <c r="A56" s="54"/>
      <c r="B56" s="57"/>
      <c r="C56" s="55"/>
      <c r="D56" s="58"/>
    </row>
    <row r="57" spans="1:4" ht="12.75">
      <c r="A57" s="54"/>
      <c r="B57" s="57"/>
      <c r="C57" s="55"/>
      <c r="D57" s="58"/>
    </row>
    <row r="58" spans="1:4" ht="12.75">
      <c r="A58" s="54"/>
      <c r="B58" s="57"/>
      <c r="C58" s="55"/>
      <c r="D58" s="58"/>
    </row>
    <row r="59" spans="1:4" ht="12.75">
      <c r="A59" s="54"/>
      <c r="B59" s="57"/>
      <c r="C59" s="55"/>
      <c r="D59" s="58"/>
    </row>
    <row r="60" spans="1:4" ht="12.75">
      <c r="A60" s="54"/>
      <c r="B60" s="57"/>
      <c r="C60" s="55"/>
      <c r="D60" s="58"/>
    </row>
    <row r="61" spans="1:4" ht="12.75">
      <c r="A61" s="54"/>
      <c r="B61" s="57"/>
      <c r="C61" s="55"/>
      <c r="D61" s="58"/>
    </row>
    <row r="62" spans="1:4" ht="12.75">
      <c r="A62" s="54"/>
      <c r="B62" s="54"/>
      <c r="C62" s="54" t="s">
        <v>231</v>
      </c>
      <c r="D62" s="58" t="s">
        <v>466</v>
      </c>
    </row>
    <row r="63" spans="1:4" ht="12.75">
      <c r="A63" s="54"/>
      <c r="B63" s="54"/>
      <c r="C63" s="54"/>
      <c r="D63" s="56" t="s">
        <v>1307</v>
      </c>
    </row>
    <row r="64" spans="1:4" ht="12.75">
      <c r="A64" s="54"/>
      <c r="B64" s="54"/>
      <c r="C64" s="54"/>
      <c r="D64" s="58" t="s">
        <v>1880</v>
      </c>
    </row>
    <row r="65" spans="1:4" ht="12.75">
      <c r="A65" s="54"/>
      <c r="B65" s="57"/>
      <c r="C65" s="55"/>
      <c r="D65" s="56" t="s">
        <v>1698</v>
      </c>
    </row>
    <row r="66" spans="1:4" ht="12.75">
      <c r="A66" s="54"/>
      <c r="B66" s="54"/>
      <c r="C66" s="54"/>
      <c r="D66" s="58" t="s">
        <v>1341</v>
      </c>
    </row>
    <row r="67" spans="1:4" ht="12.75">
      <c r="A67" s="54"/>
      <c r="B67" s="54"/>
      <c r="C67" s="54"/>
      <c r="D67" s="58" t="s">
        <v>1611</v>
      </c>
    </row>
    <row r="68" spans="1:4" ht="12.75">
      <c r="A68" s="54"/>
      <c r="B68" s="57"/>
      <c r="C68" s="55"/>
      <c r="D68" s="56" t="s">
        <v>1702</v>
      </c>
    </row>
    <row r="69" spans="1:4" ht="12.75">
      <c r="A69" s="54"/>
      <c r="B69" s="54"/>
      <c r="C69" s="54"/>
      <c r="D69" s="58" t="s">
        <v>1072</v>
      </c>
    </row>
    <row r="70" spans="1:4" ht="12.75">
      <c r="A70" s="54"/>
      <c r="B70" s="57"/>
      <c r="C70" s="55"/>
      <c r="D70" s="56" t="s">
        <v>1999</v>
      </c>
    </row>
    <row r="71" spans="1:4" ht="12.75">
      <c r="A71" s="54" t="s">
        <v>231</v>
      </c>
      <c r="B71" s="57"/>
      <c r="C71" s="55"/>
      <c r="D71" s="56" t="s">
        <v>963</v>
      </c>
    </row>
    <row r="72" spans="1:4" ht="12.75">
      <c r="A72" s="54"/>
      <c r="B72" s="57"/>
      <c r="C72" s="55"/>
      <c r="D72" s="58" t="s">
        <v>1926</v>
      </c>
    </row>
    <row r="73" spans="1:4" ht="12.75">
      <c r="A73" s="54"/>
      <c r="B73" s="57"/>
      <c r="C73" s="55" t="s">
        <v>231</v>
      </c>
      <c r="D73" s="56" t="s">
        <v>1925</v>
      </c>
    </row>
    <row r="74" spans="1:4" ht="12.75">
      <c r="A74" s="54"/>
      <c r="B74" s="54"/>
      <c r="C74" s="54"/>
      <c r="D74" s="58" t="s">
        <v>1873</v>
      </c>
    </row>
    <row r="75" spans="1:4" ht="12.75">
      <c r="A75" s="54"/>
      <c r="B75" s="57"/>
      <c r="C75" s="55"/>
      <c r="D75" s="58" t="s">
        <v>1927</v>
      </c>
    </row>
    <row r="76" spans="1:4" ht="12.75">
      <c r="A76" s="54"/>
      <c r="B76" s="54"/>
      <c r="C76" s="54"/>
      <c r="D76" s="58" t="s">
        <v>1869</v>
      </c>
    </row>
    <row r="77" spans="1:4" ht="12.75">
      <c r="A77" s="54"/>
      <c r="B77" s="54"/>
      <c r="C77" s="55"/>
      <c r="D77" s="56" t="s">
        <v>1697</v>
      </c>
    </row>
    <row r="78" spans="1:4" ht="12.75">
      <c r="A78" s="54"/>
      <c r="B78" s="54"/>
      <c r="C78" s="54"/>
      <c r="D78" s="58" t="s">
        <v>1340</v>
      </c>
    </row>
    <row r="79" spans="1:4" ht="12.75">
      <c r="A79" s="54"/>
      <c r="B79" s="57"/>
      <c r="C79" s="55"/>
      <c r="D79" s="58" t="s">
        <v>796</v>
      </c>
    </row>
    <row r="80" spans="1:4" ht="12.75">
      <c r="A80" s="54"/>
      <c r="B80" s="54"/>
      <c r="C80" s="54" t="s">
        <v>231</v>
      </c>
      <c r="D80" s="58" t="s">
        <v>250</v>
      </c>
    </row>
    <row r="81" spans="1:4" ht="12.75">
      <c r="A81" s="54"/>
      <c r="B81" s="57"/>
      <c r="C81" s="55"/>
      <c r="D81" s="56" t="s">
        <v>1867</v>
      </c>
    </row>
    <row r="82" spans="1:4" ht="12.75">
      <c r="A82" s="54"/>
      <c r="B82" s="54"/>
      <c r="C82" s="54"/>
      <c r="D82" s="58" t="s">
        <v>1342</v>
      </c>
    </row>
    <row r="83" spans="1:4" ht="12.75">
      <c r="A83" s="54"/>
      <c r="B83" s="57"/>
      <c r="C83" s="54"/>
      <c r="D83" s="58" t="s">
        <v>1872</v>
      </c>
    </row>
    <row r="84" spans="1:4" ht="12.75">
      <c r="A84" s="54"/>
      <c r="B84" s="57"/>
      <c r="C84" s="55"/>
      <c r="D84" s="58" t="s">
        <v>2032</v>
      </c>
    </row>
    <row r="85" spans="1:4" ht="12.75">
      <c r="A85" s="54"/>
      <c r="B85" s="57"/>
      <c r="C85" s="55" t="s">
        <v>231</v>
      </c>
      <c r="D85" s="58" t="s">
        <v>1330</v>
      </c>
    </row>
    <row r="86" spans="1:4" ht="12.75">
      <c r="A86" s="54"/>
      <c r="B86" s="54"/>
      <c r="C86" s="54" t="s">
        <v>231</v>
      </c>
      <c r="D86" s="54" t="s">
        <v>1291</v>
      </c>
    </row>
    <row r="87" spans="1:4" ht="12.75">
      <c r="A87" s="54"/>
      <c r="B87" s="54"/>
      <c r="C87" s="54" t="s">
        <v>231</v>
      </c>
      <c r="D87" s="54" t="s">
        <v>1292</v>
      </c>
    </row>
    <row r="88" spans="1:4" ht="12.75">
      <c r="A88" s="54"/>
      <c r="B88" s="54"/>
      <c r="C88" s="54" t="s">
        <v>231</v>
      </c>
      <c r="D88" s="54" t="s">
        <v>1685</v>
      </c>
    </row>
    <row r="89" spans="1:4" ht="12.75">
      <c r="A89" s="54"/>
      <c r="B89" s="54"/>
      <c r="C89" s="54" t="s">
        <v>231</v>
      </c>
      <c r="D89" s="54" t="s">
        <v>1413</v>
      </c>
    </row>
    <row r="90" spans="1:4" ht="12.75">
      <c r="A90" s="54"/>
      <c r="B90" s="54"/>
      <c r="C90" s="54"/>
      <c r="D90" s="54"/>
    </row>
    <row r="91" spans="1:4" ht="12.75">
      <c r="A91" s="54"/>
      <c r="B91" s="54"/>
      <c r="C91" s="54"/>
      <c r="D91" s="54"/>
    </row>
    <row r="92" spans="1:4" ht="12.75">
      <c r="A92" s="54"/>
      <c r="B92" s="54"/>
      <c r="C92" s="54"/>
      <c r="D92" s="54"/>
    </row>
    <row r="93" spans="1:4" ht="12.75">
      <c r="A93" s="54"/>
      <c r="B93" s="54"/>
      <c r="C93" s="54"/>
      <c r="D93" s="54"/>
    </row>
    <row r="94" spans="1:4" ht="12.75">
      <c r="A94" s="54"/>
      <c r="B94" s="54"/>
      <c r="C94" s="54"/>
      <c r="D94" s="54"/>
    </row>
    <row r="95" spans="1:4" ht="12.75">
      <c r="A95" s="54"/>
      <c r="B95" s="54"/>
      <c r="C95" s="54"/>
      <c r="D95" s="54"/>
    </row>
    <row r="96" spans="1:4" ht="12.75">
      <c r="A96" s="54"/>
      <c r="B96" s="54"/>
      <c r="C96" s="54"/>
      <c r="D96" s="54"/>
    </row>
    <row r="97" spans="1:4" ht="12.75">
      <c r="A97" s="54"/>
      <c r="B97" s="54"/>
      <c r="C97" s="54"/>
      <c r="D97" s="54"/>
    </row>
    <row r="98" spans="1:4" ht="12.75">
      <c r="A98" s="54"/>
      <c r="B98" s="54"/>
      <c r="C98" s="54"/>
      <c r="D98" s="54"/>
    </row>
    <row r="99" spans="1:4" ht="12.75">
      <c r="A99" s="54"/>
      <c r="B99" s="54"/>
      <c r="C99" s="54"/>
      <c r="D99" s="54"/>
    </row>
    <row r="100" spans="1:4" ht="12.75">
      <c r="A100" s="54"/>
      <c r="B100" s="54"/>
      <c r="C100" s="54"/>
      <c r="D100" s="54"/>
    </row>
    <row r="101" spans="1:4" ht="12.75">
      <c r="A101" s="54"/>
      <c r="B101" s="54"/>
      <c r="C101" s="54"/>
      <c r="D101" s="54"/>
    </row>
  </sheetData>
  <printOptions/>
  <pageMargins left="0.75" right="0.75" top="0.24" bottom="0.34" header="0.22" footer="3.49"/>
  <pageSetup orientation="portrait" r:id="rId1"/>
</worksheet>
</file>

<file path=xl/worksheets/sheet26.xml><?xml version="1.0" encoding="utf-8"?>
<worksheet xmlns="http://schemas.openxmlformats.org/spreadsheetml/2006/main" xmlns:r="http://schemas.openxmlformats.org/officeDocument/2006/relationships">
  <dimension ref="A1:V46"/>
  <sheetViews>
    <sheetView workbookViewId="0" topLeftCell="A24">
      <selection activeCell="N66" sqref="N66"/>
    </sheetView>
  </sheetViews>
  <sheetFormatPr defaultColWidth="9.140625" defaultRowHeight="12.75"/>
  <sheetData>
    <row r="1" spans="1:3" ht="12.75">
      <c r="A1" s="55"/>
      <c r="B1" s="55"/>
      <c r="C1" s="59" t="s">
        <v>1709</v>
      </c>
    </row>
    <row r="2" spans="1:3" ht="12.75">
      <c r="A2" s="55"/>
      <c r="B2" s="55"/>
      <c r="C2" s="58" t="s">
        <v>1068</v>
      </c>
    </row>
    <row r="3" spans="1:3" ht="12.75">
      <c r="A3" s="55"/>
      <c r="B3" s="55"/>
      <c r="C3" s="56" t="s">
        <v>120</v>
      </c>
    </row>
    <row r="4" spans="1:3" ht="12.75">
      <c r="A4" s="55"/>
      <c r="B4" s="55"/>
      <c r="C4" s="96" t="s">
        <v>2056</v>
      </c>
    </row>
    <row r="5" spans="1:4" ht="12.75">
      <c r="A5" s="55"/>
      <c r="B5" s="55"/>
      <c r="C5" s="54" t="s">
        <v>1994</v>
      </c>
      <c r="D5" s="3"/>
    </row>
    <row r="6" spans="1:4" ht="12.75">
      <c r="A6" s="55"/>
      <c r="B6" s="55"/>
      <c r="C6" s="54" t="s">
        <v>121</v>
      </c>
      <c r="D6" s="3"/>
    </row>
    <row r="7" spans="1:4" ht="12.75">
      <c r="A7" s="55"/>
      <c r="B7" s="55"/>
      <c r="C7" s="54" t="s">
        <v>222</v>
      </c>
      <c r="D7" s="3"/>
    </row>
    <row r="8" spans="1:4" ht="12.75">
      <c r="A8" s="55"/>
      <c r="B8" s="55"/>
      <c r="C8" s="96" t="s">
        <v>122</v>
      </c>
      <c r="D8" s="3"/>
    </row>
    <row r="9" spans="1:4" ht="12.75">
      <c r="A9" s="55"/>
      <c r="B9" s="55"/>
      <c r="C9" s="96" t="s">
        <v>123</v>
      </c>
      <c r="D9" s="3"/>
    </row>
    <row r="10" spans="1:4" ht="12.75">
      <c r="A10" s="55"/>
      <c r="B10" s="55"/>
      <c r="C10" s="62" t="s">
        <v>125</v>
      </c>
      <c r="D10" s="3"/>
    </row>
    <row r="11" spans="1:9" ht="12.75">
      <c r="A11" s="55"/>
      <c r="B11" s="55"/>
      <c r="C11" s="56" t="s">
        <v>124</v>
      </c>
      <c r="D11" s="3"/>
      <c r="I11" s="3"/>
    </row>
    <row r="12" spans="1:3" ht="12.75">
      <c r="A12" s="55"/>
      <c r="B12" s="55"/>
      <c r="C12" s="56" t="s">
        <v>363</v>
      </c>
    </row>
    <row r="13" spans="1:3" ht="12.75">
      <c r="A13" s="55" t="s">
        <v>365</v>
      </c>
      <c r="B13" s="55"/>
      <c r="C13" s="56"/>
    </row>
    <row r="14" spans="1:3" ht="12.75">
      <c r="A14" s="55" t="s">
        <v>126</v>
      </c>
      <c r="B14" s="55"/>
      <c r="C14" s="56"/>
    </row>
    <row r="15" spans="1:3" ht="12.75">
      <c r="A15" s="56" t="s">
        <v>364</v>
      </c>
      <c r="B15" s="55"/>
      <c r="C15" s="56"/>
    </row>
    <row r="16" spans="1:3" ht="12.75">
      <c r="A16" s="55"/>
      <c r="B16" s="55"/>
      <c r="C16" s="96" t="s">
        <v>127</v>
      </c>
    </row>
    <row r="17" spans="1:3" ht="12.75">
      <c r="A17" s="55"/>
      <c r="B17" s="55"/>
      <c r="C17" s="97" t="s">
        <v>1290</v>
      </c>
    </row>
    <row r="18" spans="1:3" ht="12.75">
      <c r="A18" s="87"/>
      <c r="B18" s="87"/>
      <c r="C18" s="59" t="s">
        <v>128</v>
      </c>
    </row>
    <row r="19" spans="1:3" ht="12.75">
      <c r="A19" s="87"/>
      <c r="B19" s="87"/>
      <c r="C19" s="59" t="s">
        <v>129</v>
      </c>
    </row>
    <row r="20" spans="1:3" ht="12.75">
      <c r="A20" s="54"/>
      <c r="B20" s="54"/>
      <c r="C20" s="59" t="s">
        <v>367</v>
      </c>
    </row>
    <row r="21" spans="1:3" ht="12.75">
      <c r="A21" s="55"/>
      <c r="B21" s="55"/>
      <c r="C21" s="96" t="s">
        <v>130</v>
      </c>
    </row>
    <row r="22" spans="1:3" ht="12.75">
      <c r="A22" s="55"/>
      <c r="B22" s="55"/>
      <c r="C22" s="56" t="s">
        <v>136</v>
      </c>
    </row>
    <row r="23" spans="1:3" ht="12.75">
      <c r="A23" s="55"/>
      <c r="B23" s="55"/>
      <c r="C23" s="96" t="s">
        <v>138</v>
      </c>
    </row>
    <row r="24" spans="1:22" ht="12.75">
      <c r="A24" s="54"/>
      <c r="B24" s="54"/>
      <c r="C24" s="118" t="s">
        <v>715</v>
      </c>
      <c r="D24" s="28"/>
      <c r="E24" s="1"/>
      <c r="F24" s="1"/>
      <c r="G24" s="1"/>
      <c r="H24" s="1"/>
      <c r="I24" s="1"/>
      <c r="J24" s="1"/>
      <c r="K24" s="1"/>
      <c r="L24" s="1"/>
      <c r="M24" s="1"/>
      <c r="N24" s="1"/>
      <c r="O24" s="1"/>
      <c r="P24" s="1"/>
      <c r="Q24" s="1"/>
      <c r="R24" s="1"/>
      <c r="S24" s="1"/>
      <c r="T24" s="1"/>
      <c r="U24" s="1"/>
      <c r="V24" s="1"/>
    </row>
    <row r="25" spans="1:22" ht="12.75">
      <c r="A25" s="55"/>
      <c r="B25" s="55"/>
      <c r="C25" s="119" t="s">
        <v>131</v>
      </c>
      <c r="D25" s="9"/>
      <c r="G25" s="10"/>
      <c r="H25" s="6"/>
      <c r="I25" s="6"/>
      <c r="J25" s="6"/>
      <c r="K25" s="6"/>
      <c r="L25" s="6"/>
      <c r="M25" s="2"/>
      <c r="N25" s="16"/>
      <c r="O25" s="9"/>
      <c r="P25" s="16"/>
      <c r="Q25" s="29"/>
      <c r="R25" s="9"/>
      <c r="S25" s="60"/>
      <c r="T25" s="16"/>
      <c r="U25" s="9"/>
      <c r="V25" s="9"/>
    </row>
    <row r="26" spans="1:22" ht="12.75">
      <c r="A26" s="55"/>
      <c r="B26" s="55"/>
      <c r="C26" s="120" t="s">
        <v>132</v>
      </c>
      <c r="D26" s="9"/>
      <c r="G26" s="10"/>
      <c r="H26" s="6"/>
      <c r="I26" s="6"/>
      <c r="J26" s="6"/>
      <c r="K26" s="6"/>
      <c r="L26" s="6"/>
      <c r="M26" s="2"/>
      <c r="N26" s="16"/>
      <c r="O26" s="9"/>
      <c r="P26" s="16"/>
      <c r="Q26" s="16"/>
      <c r="R26" s="9"/>
      <c r="S26" s="60"/>
      <c r="T26" s="16"/>
      <c r="U26" s="9"/>
      <c r="V26" s="9"/>
    </row>
    <row r="27" spans="1:22" ht="12.75">
      <c r="A27" s="55"/>
      <c r="B27" s="55"/>
      <c r="C27" s="119" t="s">
        <v>133</v>
      </c>
      <c r="D27" s="9"/>
      <c r="G27" s="6"/>
      <c r="M27" s="2"/>
      <c r="N27" s="29"/>
      <c r="O27" s="9"/>
      <c r="P27" s="16"/>
      <c r="Q27" s="16"/>
      <c r="R27" s="9"/>
      <c r="S27" s="2"/>
      <c r="T27" s="9"/>
      <c r="U27" s="9"/>
      <c r="V27" s="9"/>
    </row>
    <row r="28" spans="1:22" ht="12.75">
      <c r="A28" s="55"/>
      <c r="B28" s="55"/>
      <c r="C28" s="120" t="s">
        <v>134</v>
      </c>
      <c r="D28" s="9"/>
      <c r="G28" s="10"/>
      <c r="M28" s="2"/>
      <c r="N28" s="42"/>
      <c r="O28" s="9"/>
      <c r="P28" s="42"/>
      <c r="Q28" s="29"/>
      <c r="R28" s="9"/>
      <c r="S28" s="2"/>
      <c r="T28" s="9"/>
      <c r="U28" s="9"/>
      <c r="V28" s="9"/>
    </row>
    <row r="29" spans="1:22" ht="12.75">
      <c r="A29" s="55"/>
      <c r="B29" s="55"/>
      <c r="C29" s="119" t="s">
        <v>135</v>
      </c>
      <c r="D29" s="9"/>
      <c r="G29" s="10"/>
      <c r="M29" s="2"/>
      <c r="N29" s="29"/>
      <c r="O29" s="9"/>
      <c r="P29" s="29"/>
      <c r="Q29" s="16"/>
      <c r="R29" s="9"/>
      <c r="S29" s="2"/>
      <c r="T29" s="16"/>
      <c r="U29" s="9"/>
      <c r="V29" s="9"/>
    </row>
    <row r="30" spans="1:3" ht="12.75">
      <c r="A30" s="55"/>
      <c r="B30" s="55"/>
      <c r="C30" s="56" t="s">
        <v>1025</v>
      </c>
    </row>
    <row r="31" spans="1:3" ht="12.75">
      <c r="A31" s="55"/>
      <c r="B31" s="55"/>
      <c r="C31" s="56" t="s">
        <v>137</v>
      </c>
    </row>
    <row r="32" spans="1:3" ht="12.75">
      <c r="A32" s="55"/>
      <c r="B32" s="55"/>
      <c r="C32" s="56" t="s">
        <v>1170</v>
      </c>
    </row>
    <row r="33" spans="1:3" ht="12.75">
      <c r="A33" s="55"/>
      <c r="B33" s="55"/>
      <c r="C33" s="56" t="s">
        <v>321</v>
      </c>
    </row>
    <row r="34" spans="1:3" ht="12.75">
      <c r="A34" s="55"/>
      <c r="B34" s="55"/>
      <c r="C34" s="56" t="s">
        <v>1172</v>
      </c>
    </row>
    <row r="35" spans="1:3" ht="12.75">
      <c r="A35" s="55"/>
      <c r="B35" s="55"/>
      <c r="C35" s="56" t="s">
        <v>319</v>
      </c>
    </row>
    <row r="36" spans="1:3" ht="12.75">
      <c r="A36" s="55"/>
      <c r="B36" s="55"/>
      <c r="C36" s="54" t="s">
        <v>1107</v>
      </c>
    </row>
    <row r="37" spans="1:3" ht="12.75">
      <c r="A37" s="55"/>
      <c r="B37" s="55"/>
      <c r="C37" s="54" t="s">
        <v>462</v>
      </c>
    </row>
    <row r="38" spans="1:4" ht="12.75">
      <c r="A38" s="55"/>
      <c r="B38" s="55"/>
      <c r="C38" s="54" t="s">
        <v>1048</v>
      </c>
      <c r="D38" s="3"/>
    </row>
    <row r="39" spans="1:3" ht="12.75">
      <c r="A39" s="55"/>
      <c r="B39" s="55"/>
      <c r="C39" s="54" t="s">
        <v>1224</v>
      </c>
    </row>
    <row r="40" spans="1:3" ht="12.75">
      <c r="A40" s="55"/>
      <c r="B40" s="55"/>
      <c r="C40" s="58" t="s">
        <v>1069</v>
      </c>
    </row>
    <row r="41" spans="1:3" ht="12.75">
      <c r="A41" s="55"/>
      <c r="B41" s="55"/>
      <c r="C41" s="58" t="s">
        <v>1509</v>
      </c>
    </row>
    <row r="42" spans="1:3" ht="12.75">
      <c r="A42" s="54"/>
      <c r="B42" s="54"/>
      <c r="C42" s="54" t="s">
        <v>1969</v>
      </c>
    </row>
    <row r="43" spans="1:3" ht="12.75">
      <c r="A43" s="54"/>
      <c r="B43" s="54"/>
      <c r="C43" s="54" t="s">
        <v>2000</v>
      </c>
    </row>
    <row r="44" spans="1:3" ht="12.75">
      <c r="A44" s="54"/>
      <c r="B44" s="54"/>
      <c r="C44" s="54" t="s">
        <v>1851</v>
      </c>
    </row>
    <row r="45" spans="1:3" ht="12.75">
      <c r="A45" s="54"/>
      <c r="B45" s="54"/>
      <c r="C45" s="54" t="s">
        <v>1974</v>
      </c>
    </row>
    <row r="46" spans="1:3" ht="12.75">
      <c r="A46" s="54"/>
      <c r="B46" s="54"/>
      <c r="C46" s="97" t="s">
        <v>481</v>
      </c>
    </row>
  </sheetData>
  <printOptions/>
  <pageMargins left="0.75" right="0.75" top="1" bottom="1" header="0.5" footer="0.5"/>
  <pageSetup orientation="portrait" r:id="rId1"/>
</worksheet>
</file>

<file path=xl/worksheets/sheet27.xml><?xml version="1.0" encoding="utf-8"?>
<worksheet xmlns="http://schemas.openxmlformats.org/spreadsheetml/2006/main" xmlns:r="http://schemas.openxmlformats.org/officeDocument/2006/relationships">
  <dimension ref="A1:AF91"/>
  <sheetViews>
    <sheetView workbookViewId="0" topLeftCell="A4">
      <selection activeCell="E37" sqref="A36:E37"/>
    </sheetView>
  </sheetViews>
  <sheetFormatPr defaultColWidth="9.140625" defaultRowHeight="12.75"/>
  <cols>
    <col min="5" max="5" width="18.421875" style="0" customWidth="1"/>
    <col min="6" max="6" width="5.7109375" style="0" customWidth="1"/>
    <col min="7" max="7" width="6.7109375" style="0" customWidth="1"/>
    <col min="8" max="8" width="6.57421875" style="0" customWidth="1"/>
    <col min="9" max="9" width="8.28125" style="0" customWidth="1"/>
    <col min="10" max="10" width="6.00390625" style="0" customWidth="1"/>
    <col min="11" max="11" width="5.7109375" style="0" customWidth="1"/>
    <col min="12" max="12" width="6.00390625" style="0" customWidth="1"/>
    <col min="13" max="13" width="6.140625" style="0" customWidth="1"/>
    <col min="14" max="14" width="6.28125" style="0" customWidth="1"/>
    <col min="15" max="15" width="6.57421875" style="0" customWidth="1"/>
    <col min="21" max="21" width="5.28125" style="0" customWidth="1"/>
  </cols>
  <sheetData>
    <row r="1" spans="1:5" ht="12.75">
      <c r="A1" s="54"/>
      <c r="B1" s="61">
        <v>32</v>
      </c>
      <c r="C1" s="55">
        <f>B1/28.349523</f>
        <v>1.1287667873635827</v>
      </c>
      <c r="D1" s="55">
        <f>C1/16</f>
        <v>0.07054792421022392</v>
      </c>
      <c r="E1" s="13" t="s">
        <v>1709</v>
      </c>
    </row>
    <row r="2" spans="1:5" ht="12.75">
      <c r="A2" s="54"/>
      <c r="B2" s="61">
        <v>57</v>
      </c>
      <c r="C2" s="55">
        <f>B2/28.349523</f>
        <v>2.010615839991382</v>
      </c>
      <c r="D2" s="55">
        <f>C2/16</f>
        <v>0.12566348999946136</v>
      </c>
      <c r="E2" s="11" t="s">
        <v>1068</v>
      </c>
    </row>
    <row r="3" spans="1:5" ht="12.75">
      <c r="A3" s="54"/>
      <c r="B3" s="57">
        <v>38</v>
      </c>
      <c r="C3" s="55">
        <f>B3/28.349523</f>
        <v>1.3404105599942544</v>
      </c>
      <c r="D3" s="55">
        <f>C3/16</f>
        <v>0.0837756599996409</v>
      </c>
      <c r="E3" s="12" t="s">
        <v>92</v>
      </c>
    </row>
    <row r="4" spans="2:5" ht="12.75">
      <c r="B4" s="9">
        <v>357</v>
      </c>
      <c r="C4" s="2">
        <f>B4/28.349523</f>
        <v>12.59280447152497</v>
      </c>
      <c r="D4" s="2">
        <f>C4/16</f>
        <v>0.7870502794703106</v>
      </c>
      <c r="E4" s="4" t="s">
        <v>232</v>
      </c>
    </row>
    <row r="5" spans="2:6" ht="12.75">
      <c r="B5" s="9">
        <v>348</v>
      </c>
      <c r="C5" s="2">
        <f aca="true" t="shared" si="0" ref="C5:C12">B5/28.349523</f>
        <v>12.275338812578962</v>
      </c>
      <c r="D5" s="2">
        <f aca="true" t="shared" si="1" ref="D5:D12">C5/16</f>
        <v>0.7672086757861851</v>
      </c>
      <c r="E5" t="s">
        <v>472</v>
      </c>
      <c r="F5" s="3"/>
    </row>
    <row r="6" spans="2:6" ht="12.75">
      <c r="B6" s="9">
        <v>55</v>
      </c>
      <c r="C6" s="2">
        <f t="shared" si="0"/>
        <v>1.9400679157811578</v>
      </c>
      <c r="D6" s="2">
        <f t="shared" si="1"/>
        <v>0.12125424473632236</v>
      </c>
      <c r="E6" t="s">
        <v>1516</v>
      </c>
      <c r="F6" s="3"/>
    </row>
    <row r="7" spans="2:6" ht="12.75">
      <c r="B7" s="9">
        <v>266</v>
      </c>
      <c r="C7" s="2">
        <f t="shared" si="0"/>
        <v>9.382873919959781</v>
      </c>
      <c r="D7" s="2">
        <f t="shared" si="1"/>
        <v>0.5864296199974863</v>
      </c>
      <c r="E7" t="s">
        <v>471</v>
      </c>
      <c r="F7" s="3"/>
    </row>
    <row r="8" spans="2:6" ht="12.75">
      <c r="B8" s="16">
        <v>15</v>
      </c>
      <c r="C8" s="2">
        <f t="shared" si="0"/>
        <v>0.5291094315766794</v>
      </c>
      <c r="D8" s="2">
        <f t="shared" si="1"/>
        <v>0.033069339473542465</v>
      </c>
      <c r="E8" s="4" t="s">
        <v>2069</v>
      </c>
      <c r="F8" s="3"/>
    </row>
    <row r="9" spans="2:6" ht="12.75">
      <c r="B9" s="16">
        <v>32</v>
      </c>
      <c r="C9" s="2">
        <f t="shared" si="0"/>
        <v>1.1287667873635827</v>
      </c>
      <c r="D9" s="2">
        <f t="shared" si="1"/>
        <v>0.07054792421022392</v>
      </c>
      <c r="E9" s="4" t="s">
        <v>64</v>
      </c>
      <c r="F9" s="3"/>
    </row>
    <row r="10" spans="2:6" ht="12.75">
      <c r="B10" s="16">
        <v>44</v>
      </c>
      <c r="C10" s="2">
        <f t="shared" si="0"/>
        <v>1.5520543326249263</v>
      </c>
      <c r="D10" s="2">
        <f t="shared" si="1"/>
        <v>0.0970033957890579</v>
      </c>
      <c r="E10" s="6" t="s">
        <v>726</v>
      </c>
      <c r="F10" s="3"/>
    </row>
    <row r="11" spans="2:11" ht="12.75">
      <c r="B11" s="22">
        <v>219</v>
      </c>
      <c r="C11" s="2">
        <f t="shared" si="0"/>
        <v>7.724997701019519</v>
      </c>
      <c r="D11" s="2">
        <f t="shared" si="1"/>
        <v>0.48281235631371994</v>
      </c>
      <c r="E11" s="12" t="s">
        <v>360</v>
      </c>
      <c r="F11" s="3"/>
      <c r="K11" s="3"/>
    </row>
    <row r="12" spans="1:5" ht="12.75">
      <c r="A12" s="54"/>
      <c r="B12" s="57">
        <v>254</v>
      </c>
      <c r="C12" s="55">
        <f t="shared" si="0"/>
        <v>8.959586374698437</v>
      </c>
      <c r="D12" s="55">
        <f t="shared" si="1"/>
        <v>0.5599741484186523</v>
      </c>
      <c r="E12" s="12" t="s">
        <v>363</v>
      </c>
    </row>
    <row r="13" spans="1:5" ht="12.75">
      <c r="A13" s="54"/>
      <c r="B13" s="57"/>
      <c r="C13" s="55" t="s">
        <v>365</v>
      </c>
      <c r="D13" s="55"/>
      <c r="E13" s="12"/>
    </row>
    <row r="14" spans="1:5" ht="12.75">
      <c r="A14" s="54"/>
      <c r="B14" s="57"/>
      <c r="C14" s="55" t="s">
        <v>362</v>
      </c>
      <c r="D14" s="55"/>
      <c r="E14" s="12"/>
    </row>
    <row r="15" spans="1:5" ht="12.75">
      <c r="A15" s="54"/>
      <c r="B15" s="57"/>
      <c r="C15" s="56" t="s">
        <v>364</v>
      </c>
      <c r="D15" s="55"/>
      <c r="E15" s="12"/>
    </row>
    <row r="16" spans="1:6" ht="12.75">
      <c r="A16" s="54"/>
      <c r="B16" s="57">
        <v>26</v>
      </c>
      <c r="C16" s="55">
        <f aca="true" t="shared" si="2" ref="C16:C22">B16/28.349523</f>
        <v>0.917123014732911</v>
      </c>
      <c r="D16" s="55">
        <f aca="true" t="shared" si="3" ref="D16:D22">C16/16</f>
        <v>0.05732018842080694</v>
      </c>
      <c r="E16" s="11"/>
      <c r="F16" s="3"/>
    </row>
    <row r="17" spans="2:6" ht="12.75">
      <c r="B17" s="9">
        <v>94</v>
      </c>
      <c r="C17" s="2">
        <f t="shared" si="2"/>
        <v>3.3157524378805245</v>
      </c>
      <c r="D17" s="2">
        <f t="shared" si="3"/>
        <v>0.20723452736753278</v>
      </c>
      <c r="E17" t="s">
        <v>827</v>
      </c>
      <c r="F17" s="3"/>
    </row>
    <row r="18" spans="2:5" ht="12.75">
      <c r="B18" s="16">
        <v>72</v>
      </c>
      <c r="C18" s="2">
        <f t="shared" si="2"/>
        <v>2.539725271568061</v>
      </c>
      <c r="D18" s="2">
        <f t="shared" si="3"/>
        <v>0.15873282947300382</v>
      </c>
      <c r="E18" s="4" t="s">
        <v>2068</v>
      </c>
    </row>
    <row r="19" spans="2:5" ht="12.75">
      <c r="B19" s="16">
        <v>114</v>
      </c>
      <c r="C19" s="2">
        <f t="shared" si="2"/>
        <v>4.021231679982764</v>
      </c>
      <c r="D19" s="2">
        <f t="shared" si="3"/>
        <v>0.25132697999892273</v>
      </c>
      <c r="E19" t="s">
        <v>1977</v>
      </c>
    </row>
    <row r="20" spans="1:5" ht="12.75">
      <c r="A20" s="92"/>
      <c r="B20" s="93">
        <v>3</v>
      </c>
      <c r="C20" s="94">
        <f t="shared" si="2"/>
        <v>0.10582188631533589</v>
      </c>
      <c r="D20" s="94">
        <f t="shared" si="3"/>
        <v>0.006613867894708493</v>
      </c>
      <c r="E20" s="95" t="s">
        <v>1290</v>
      </c>
    </row>
    <row r="21" spans="2:5" ht="12.75">
      <c r="B21">
        <v>37</v>
      </c>
      <c r="C21" s="3">
        <f t="shared" si="2"/>
        <v>1.3051365978891425</v>
      </c>
      <c r="D21" s="3">
        <f t="shared" si="3"/>
        <v>0.0815710373680714</v>
      </c>
      <c r="E21" s="13" t="s">
        <v>474</v>
      </c>
    </row>
    <row r="22" spans="2:5" ht="12.75">
      <c r="B22">
        <v>187</v>
      </c>
      <c r="C22" s="3">
        <f t="shared" si="2"/>
        <v>6.596230913655937</v>
      </c>
      <c r="D22" s="3">
        <f t="shared" si="3"/>
        <v>0.41226443210349606</v>
      </c>
      <c r="E22" s="13" t="s">
        <v>366</v>
      </c>
    </row>
    <row r="23" ht="12.75">
      <c r="E23" s="13" t="s">
        <v>367</v>
      </c>
    </row>
    <row r="24" spans="2:5" ht="12.75">
      <c r="B24" s="16">
        <f>B23+B18</f>
        <v>72</v>
      </c>
      <c r="C24" s="2">
        <f>B24/28.349523</f>
        <v>2.539725271568061</v>
      </c>
      <c r="D24" s="2">
        <f>C24/16</f>
        <v>0.15873282947300382</v>
      </c>
      <c r="E24" s="4" t="s">
        <v>469</v>
      </c>
    </row>
    <row r="25" spans="1:5" ht="12.75">
      <c r="A25" s="54"/>
      <c r="B25" s="57">
        <v>15</v>
      </c>
      <c r="C25" s="55">
        <f>B25/28.349523</f>
        <v>0.5291094315766794</v>
      </c>
      <c r="D25" s="55">
        <f>C25/16</f>
        <v>0.033069339473542465</v>
      </c>
      <c r="E25" s="12" t="s">
        <v>361</v>
      </c>
    </row>
    <row r="26" spans="2:5" ht="12.75">
      <c r="B26" s="9">
        <f>28.349523*3</f>
        <v>85.048569</v>
      </c>
      <c r="C26" s="55">
        <f>B26/28.349523</f>
        <v>3</v>
      </c>
      <c r="D26" s="55">
        <f>C26/16</f>
        <v>0.1875</v>
      </c>
      <c r="E26" s="4" t="s">
        <v>476</v>
      </c>
    </row>
    <row r="27" spans="2:28" ht="39">
      <c r="B27" s="28" t="s">
        <v>1603</v>
      </c>
      <c r="C27" t="s">
        <v>1265</v>
      </c>
      <c r="D27" t="s">
        <v>1604</v>
      </c>
      <c r="E27" s="12" t="s">
        <v>2075</v>
      </c>
      <c r="F27" s="28" t="s">
        <v>358</v>
      </c>
      <c r="G27" s="1" t="s">
        <v>559</v>
      </c>
      <c r="H27" s="1" t="s">
        <v>585</v>
      </c>
      <c r="I27" s="1" t="s">
        <v>584</v>
      </c>
      <c r="J27" s="1" t="s">
        <v>359</v>
      </c>
      <c r="K27" s="1" t="s">
        <v>582</v>
      </c>
      <c r="L27" s="1" t="s">
        <v>581</v>
      </c>
      <c r="M27" s="1" t="s">
        <v>580</v>
      </c>
      <c r="N27" s="1" t="s">
        <v>579</v>
      </c>
      <c r="O27" s="1" t="s">
        <v>560</v>
      </c>
      <c r="P27" s="1" t="s">
        <v>1798</v>
      </c>
      <c r="Q27" s="1" t="s">
        <v>1797</v>
      </c>
      <c r="R27" s="1" t="s">
        <v>1785</v>
      </c>
      <c r="S27" s="1" t="s">
        <v>1820</v>
      </c>
      <c r="T27" s="1" t="s">
        <v>563</v>
      </c>
      <c r="U27" s="1" t="s">
        <v>572</v>
      </c>
      <c r="V27" s="1" t="s">
        <v>571</v>
      </c>
      <c r="W27" s="1" t="s">
        <v>575</v>
      </c>
      <c r="X27" s="1" t="s">
        <v>576</v>
      </c>
      <c r="Y27" s="1" t="s">
        <v>577</v>
      </c>
      <c r="Z27" s="1" t="s">
        <v>578</v>
      </c>
      <c r="AA27" s="1" t="s">
        <v>553</v>
      </c>
      <c r="AB27" s="1"/>
    </row>
    <row r="28" spans="1:28" ht="12.75">
      <c r="A28" s="9">
        <f aca="true" t="shared" si="4" ref="A28:A34">G28*U28</f>
        <v>780</v>
      </c>
      <c r="B28" s="33">
        <v>195</v>
      </c>
      <c r="C28" s="2">
        <f>B28/28.349523</f>
        <v>6.878422610496832</v>
      </c>
      <c r="D28" s="2">
        <f>C28/16</f>
        <v>0.429901413156052</v>
      </c>
      <c r="E28" s="11" t="s">
        <v>636</v>
      </c>
      <c r="F28" s="9">
        <v>15</v>
      </c>
      <c r="G28">
        <v>60</v>
      </c>
      <c r="H28">
        <v>1</v>
      </c>
      <c r="I28" s="10">
        <v>0</v>
      </c>
      <c r="J28" s="6">
        <v>0</v>
      </c>
      <c r="K28" s="6">
        <v>14</v>
      </c>
      <c r="L28" s="6">
        <v>14</v>
      </c>
      <c r="M28" s="6">
        <v>0</v>
      </c>
      <c r="N28" s="6">
        <v>0</v>
      </c>
      <c r="O28" s="2">
        <f>G28/F28</f>
        <v>4</v>
      </c>
      <c r="P28" s="16">
        <f>100*4*M28/G28</f>
        <v>0</v>
      </c>
      <c r="Q28" s="9">
        <f>100*9*H28/G28</f>
        <v>15</v>
      </c>
      <c r="R28" s="16">
        <f>100*(I28*9)/G28</f>
        <v>0</v>
      </c>
      <c r="S28" s="29">
        <f>100*K28*4/G28</f>
        <v>93.33333333333333</v>
      </c>
      <c r="T28" s="9">
        <f>100*N28/F28</f>
        <v>0</v>
      </c>
      <c r="U28" s="60">
        <f aca="true" t="shared" si="5" ref="U28:U34">B28/F28</f>
        <v>13</v>
      </c>
      <c r="V28" s="16">
        <f>U28*M28</f>
        <v>0</v>
      </c>
      <c r="W28" s="9">
        <f>U28*H28</f>
        <v>13</v>
      </c>
      <c r="X28" s="9">
        <f>U28*K28</f>
        <v>182</v>
      </c>
      <c r="Y28" s="9">
        <f>N28*U28</f>
        <v>0</v>
      </c>
      <c r="Z28">
        <f>U28*J28</f>
        <v>0</v>
      </c>
      <c r="AA28" s="2">
        <f>I28*U28</f>
        <v>0</v>
      </c>
      <c r="AB28" s="9"/>
    </row>
    <row r="29" spans="1:28" ht="12.75">
      <c r="A29" s="9">
        <f t="shared" si="4"/>
        <v>718.6666666666667</v>
      </c>
      <c r="B29" s="33">
        <v>154</v>
      </c>
      <c r="C29" s="2">
        <f>B29/28.349523</f>
        <v>5.432190164187242</v>
      </c>
      <c r="D29" s="2">
        <f>C29/16</f>
        <v>0.3395118852617026</v>
      </c>
      <c r="E29" s="11" t="s">
        <v>473</v>
      </c>
      <c r="F29" s="9">
        <v>30</v>
      </c>
      <c r="G29">
        <v>140</v>
      </c>
      <c r="H29">
        <v>7</v>
      </c>
      <c r="I29" s="10">
        <v>2</v>
      </c>
      <c r="J29" s="6">
        <v>0</v>
      </c>
      <c r="K29" s="6">
        <v>16</v>
      </c>
      <c r="L29" s="6">
        <v>13</v>
      </c>
      <c r="M29" s="6">
        <v>3</v>
      </c>
      <c r="N29" s="6">
        <v>2</v>
      </c>
      <c r="O29" s="2">
        <f>G29/F29</f>
        <v>4.666666666666667</v>
      </c>
      <c r="P29" s="16">
        <f>100*4*M29/G29</f>
        <v>8.571428571428571</v>
      </c>
      <c r="Q29" s="9">
        <f>100*9*H29/G29</f>
        <v>45</v>
      </c>
      <c r="R29" s="16">
        <f>100*(I29*9)/G29</f>
        <v>12.857142857142858</v>
      </c>
      <c r="S29" s="16">
        <f>100*K29*4/G29</f>
        <v>45.714285714285715</v>
      </c>
      <c r="T29" s="9">
        <f>100*N29/F29</f>
        <v>6.666666666666667</v>
      </c>
      <c r="U29" s="60">
        <f t="shared" si="5"/>
        <v>5.133333333333334</v>
      </c>
      <c r="V29" s="16">
        <f>U29*M29</f>
        <v>15.400000000000002</v>
      </c>
      <c r="W29" s="9">
        <f>U29*H29</f>
        <v>35.93333333333334</v>
      </c>
      <c r="X29" s="9">
        <f>U29*K29</f>
        <v>82.13333333333334</v>
      </c>
      <c r="Y29" s="9">
        <f>N29*U29</f>
        <v>10.266666666666667</v>
      </c>
      <c r="Z29">
        <f>U29*J29</f>
        <v>0</v>
      </c>
      <c r="AA29" s="2">
        <f>I29*U29</f>
        <v>10.266666666666667</v>
      </c>
      <c r="AB29" s="9"/>
    </row>
    <row r="30" spans="1:29" ht="12.75">
      <c r="A30" s="9">
        <f t="shared" si="4"/>
        <v>360</v>
      </c>
      <c r="B30" s="33">
        <v>112</v>
      </c>
      <c r="C30" s="2">
        <f>B30/28.349523</f>
        <v>3.95068375577254</v>
      </c>
      <c r="D30" s="2">
        <f>C30/16</f>
        <v>0.24691773473578374</v>
      </c>
      <c r="E30" s="11" t="s">
        <v>356</v>
      </c>
      <c r="F30" s="9">
        <v>28</v>
      </c>
      <c r="G30">
        <v>90</v>
      </c>
      <c r="H30">
        <v>1.5</v>
      </c>
      <c r="I30" s="6">
        <v>0.5</v>
      </c>
      <c r="J30">
        <v>30</v>
      </c>
      <c r="K30">
        <v>8</v>
      </c>
      <c r="L30">
        <v>7</v>
      </c>
      <c r="M30">
        <v>11</v>
      </c>
      <c r="N30">
        <v>0</v>
      </c>
      <c r="O30" s="2">
        <f>G30/F30</f>
        <v>3.2142857142857144</v>
      </c>
      <c r="P30" s="29">
        <f>100*4*M30/G30</f>
        <v>48.888888888888886</v>
      </c>
      <c r="Q30" s="9">
        <f>100*9*H30/G30</f>
        <v>15</v>
      </c>
      <c r="R30" s="16">
        <f>100*(I30*9)/G30</f>
        <v>5</v>
      </c>
      <c r="S30" s="16">
        <f>100*K30*4/G30</f>
        <v>35.55555555555556</v>
      </c>
      <c r="T30" s="9">
        <f>100*N30/F30</f>
        <v>0</v>
      </c>
      <c r="U30" s="2">
        <f t="shared" si="5"/>
        <v>4</v>
      </c>
      <c r="V30" s="9">
        <f>U30*M30</f>
        <v>44</v>
      </c>
      <c r="W30" s="9">
        <f>U30*H30</f>
        <v>6</v>
      </c>
      <c r="X30" s="9">
        <f>U30*K30</f>
        <v>32</v>
      </c>
      <c r="Y30" s="9">
        <f>N30*U30</f>
        <v>0</v>
      </c>
      <c r="Z30">
        <f>U30*J30</f>
        <v>120</v>
      </c>
      <c r="AA30" s="2">
        <f>I30*U30</f>
        <v>2</v>
      </c>
      <c r="AB30" s="9"/>
      <c r="AC30" s="9"/>
    </row>
    <row r="31" spans="1:29" ht="12.75">
      <c r="A31" s="9">
        <f t="shared" si="4"/>
        <v>188.1818181818182</v>
      </c>
      <c r="B31" s="33">
        <v>46</v>
      </c>
      <c r="C31" s="2">
        <v>0.7760271663124632</v>
      </c>
      <c r="D31" s="2">
        <v>0.04850169789452895</v>
      </c>
      <c r="E31" s="11" t="s">
        <v>253</v>
      </c>
      <c r="F31" s="9">
        <v>22</v>
      </c>
      <c r="G31">
        <v>90</v>
      </c>
      <c r="H31">
        <v>2</v>
      </c>
      <c r="I31" s="10">
        <v>0.5</v>
      </c>
      <c r="J31">
        <v>0</v>
      </c>
      <c r="K31">
        <v>18</v>
      </c>
      <c r="L31">
        <v>8</v>
      </c>
      <c r="M31">
        <v>1</v>
      </c>
      <c r="N31">
        <v>0</v>
      </c>
      <c r="O31" s="2">
        <v>4.090909090909091</v>
      </c>
      <c r="P31" s="42">
        <v>4.444444444444445</v>
      </c>
      <c r="Q31" s="9">
        <v>20</v>
      </c>
      <c r="R31" s="42">
        <v>5</v>
      </c>
      <c r="S31" s="29">
        <v>80</v>
      </c>
      <c r="T31" s="9">
        <v>0</v>
      </c>
      <c r="U31" s="2">
        <f t="shared" si="5"/>
        <v>2.090909090909091</v>
      </c>
      <c r="V31" s="9">
        <v>1</v>
      </c>
      <c r="W31" s="9">
        <v>2</v>
      </c>
      <c r="X31" s="9">
        <v>18</v>
      </c>
      <c r="Y31" s="9">
        <v>0</v>
      </c>
      <c r="Z31">
        <v>0</v>
      </c>
      <c r="AA31" s="2">
        <v>0.5</v>
      </c>
      <c r="AB31" s="9"/>
      <c r="AC31" s="9"/>
    </row>
    <row r="32" spans="1:29" ht="12.75">
      <c r="A32" s="9">
        <f t="shared" si="4"/>
        <v>210</v>
      </c>
      <c r="B32">
        <v>50</v>
      </c>
      <c r="C32" s="2">
        <v>1.763698105255598</v>
      </c>
      <c r="D32" s="2">
        <v>0.11023113157847488</v>
      </c>
      <c r="E32" s="11" t="s">
        <v>531</v>
      </c>
      <c r="F32" s="9">
        <v>50</v>
      </c>
      <c r="G32">
        <v>210</v>
      </c>
      <c r="H32">
        <v>7</v>
      </c>
      <c r="I32" s="10">
        <v>4</v>
      </c>
      <c r="J32">
        <v>0</v>
      </c>
      <c r="K32">
        <v>22</v>
      </c>
      <c r="L32">
        <v>13</v>
      </c>
      <c r="M32">
        <v>16</v>
      </c>
      <c r="N32">
        <v>0.5</v>
      </c>
      <c r="O32" s="2">
        <v>4.2</v>
      </c>
      <c r="P32" s="29">
        <v>30.476190476190474</v>
      </c>
      <c r="Q32" s="9">
        <v>30</v>
      </c>
      <c r="R32" s="29">
        <v>17.142857142857142</v>
      </c>
      <c r="S32" s="16" t="s">
        <v>69</v>
      </c>
      <c r="T32" s="9">
        <v>1</v>
      </c>
      <c r="U32" s="2">
        <f t="shared" si="5"/>
        <v>1</v>
      </c>
      <c r="V32" s="16">
        <v>16</v>
      </c>
      <c r="W32" s="9">
        <v>7</v>
      </c>
      <c r="X32" s="9">
        <v>22</v>
      </c>
      <c r="Y32" s="16">
        <v>0.5</v>
      </c>
      <c r="Z32">
        <v>0</v>
      </c>
      <c r="AA32" s="2">
        <v>4</v>
      </c>
      <c r="AB32" s="11"/>
      <c r="AC32" s="9"/>
    </row>
    <row r="33" spans="1:29" ht="12.75">
      <c r="A33" s="9">
        <f t="shared" si="4"/>
        <v>434.5343157876112</v>
      </c>
      <c r="B33" s="33">
        <v>85</v>
      </c>
      <c r="C33" s="2">
        <v>1.3756845220993665</v>
      </c>
      <c r="D33" s="2">
        <v>0.08598028263121041</v>
      </c>
      <c r="E33" s="11" t="s">
        <v>1937</v>
      </c>
      <c r="F33" s="9">
        <v>39.122341739999996</v>
      </c>
      <c r="G33">
        <v>200</v>
      </c>
      <c r="H33">
        <v>10</v>
      </c>
      <c r="I33" s="10">
        <v>2</v>
      </c>
      <c r="J33">
        <v>0</v>
      </c>
      <c r="K33">
        <v>23</v>
      </c>
      <c r="L33">
        <v>4</v>
      </c>
      <c r="M33">
        <v>4</v>
      </c>
      <c r="N33">
        <v>1</v>
      </c>
      <c r="O33" s="2">
        <v>4.856559999979184</v>
      </c>
      <c r="P33" s="42">
        <v>8.421052631578947</v>
      </c>
      <c r="Q33" s="9">
        <v>47.36842105263158</v>
      </c>
      <c r="R33" s="16">
        <v>9.473684210526315</v>
      </c>
      <c r="S33" s="16">
        <v>48.421052631578945</v>
      </c>
      <c r="T33" s="9">
        <v>2.55608421051536</v>
      </c>
      <c r="U33" s="2">
        <f t="shared" si="5"/>
        <v>2.172671578938056</v>
      </c>
      <c r="V33" s="9">
        <v>3.9874913684039615</v>
      </c>
      <c r="W33" s="9">
        <v>9.968728421009903</v>
      </c>
      <c r="X33" s="9">
        <v>22.92807536832278</v>
      </c>
      <c r="Y33" s="9">
        <v>0.9968728421009904</v>
      </c>
      <c r="Z33">
        <v>0</v>
      </c>
      <c r="AA33" s="2">
        <v>1.9937456842019807</v>
      </c>
      <c r="AB33" s="9"/>
      <c r="AC33" s="9"/>
    </row>
    <row r="34" spans="1:29" ht="12.75">
      <c r="A34" s="9">
        <f t="shared" si="4"/>
        <v>625.3571428571428</v>
      </c>
      <c r="B34" s="33">
        <v>103</v>
      </c>
      <c r="C34" s="2">
        <f>B34/28.349523</f>
        <v>3.633218096826532</v>
      </c>
      <c r="D34" s="2">
        <f>C34/16</f>
        <v>0.22707613105165825</v>
      </c>
      <c r="E34" s="11" t="s">
        <v>1845</v>
      </c>
      <c r="F34" s="9">
        <v>28</v>
      </c>
      <c r="G34">
        <v>170</v>
      </c>
      <c r="H34">
        <v>13</v>
      </c>
      <c r="I34" s="2">
        <v>3</v>
      </c>
      <c r="J34">
        <v>0</v>
      </c>
      <c r="K34">
        <v>9</v>
      </c>
      <c r="L34">
        <v>2</v>
      </c>
      <c r="M34">
        <v>5</v>
      </c>
      <c r="N34">
        <v>1</v>
      </c>
      <c r="O34" s="32">
        <f>G34/F34</f>
        <v>6.071428571428571</v>
      </c>
      <c r="P34" s="9">
        <f>100*M34/F34</f>
        <v>17.857142857142858</v>
      </c>
      <c r="Q34" s="9">
        <f>100*9*H34/G34</f>
        <v>68.82352941176471</v>
      </c>
      <c r="R34" s="29">
        <f>100*(I34*9)/G34</f>
        <v>15.882352941176471</v>
      </c>
      <c r="S34" s="9">
        <f>100*K34/F34</f>
        <v>32.142857142857146</v>
      </c>
      <c r="T34" s="9">
        <f>100*N34/F34</f>
        <v>3.5714285714285716</v>
      </c>
      <c r="U34" s="2">
        <f t="shared" si="5"/>
        <v>3.6785714285714284</v>
      </c>
      <c r="V34" s="9">
        <f>U34*M34</f>
        <v>18.392857142857142</v>
      </c>
      <c r="W34" s="9">
        <f>U34*H34</f>
        <v>47.82142857142857</v>
      </c>
      <c r="X34" s="9">
        <f>U34*K34</f>
        <v>33.107142857142854</v>
      </c>
      <c r="Y34" s="9">
        <f>N34*U34</f>
        <v>3.6785714285714284</v>
      </c>
      <c r="Z34">
        <f>U34*J34</f>
        <v>0</v>
      </c>
      <c r="AA34" s="9">
        <f>U34*I34</f>
        <v>11.035714285714285</v>
      </c>
      <c r="AB34" s="9"/>
      <c r="AC34" s="9"/>
    </row>
    <row r="35" spans="1:32" ht="12.75">
      <c r="A35" s="57">
        <f>SUM(A28:A34)</f>
        <v>3316.739943493239</v>
      </c>
      <c r="B35" s="57"/>
      <c r="C35" s="57">
        <f>SUM(C28:C34)</f>
        <v>23.809924420950576</v>
      </c>
      <c r="D35" s="57">
        <f>SUM(D28:D34)</f>
        <v>1.488120276309411</v>
      </c>
      <c r="E35" s="58" t="s">
        <v>1507</v>
      </c>
      <c r="F35" s="54"/>
      <c r="G35" s="54"/>
      <c r="H35" s="54"/>
      <c r="I35" s="54"/>
      <c r="J35" s="57"/>
      <c r="K35" s="87"/>
      <c r="L35" s="87"/>
      <c r="M35" s="57"/>
      <c r="N35" s="54"/>
      <c r="O35" s="87"/>
      <c r="P35" s="54"/>
      <c r="Q35" s="54"/>
      <c r="R35" s="54"/>
      <c r="S35" s="54"/>
      <c r="T35" s="54"/>
      <c r="U35" s="88"/>
      <c r="V35" s="57">
        <f aca="true" t="shared" si="6" ref="V35:AA35">SUM(V27:V34)</f>
        <v>98.78034851126111</v>
      </c>
      <c r="W35" s="57">
        <f t="shared" si="6"/>
        <v>121.7234903257718</v>
      </c>
      <c r="X35" s="57">
        <f t="shared" si="6"/>
        <v>392.1685515587989</v>
      </c>
      <c r="Y35" s="57">
        <f t="shared" si="6"/>
        <v>15.442110937339086</v>
      </c>
      <c r="Z35" s="57">
        <f t="shared" si="6"/>
        <v>120</v>
      </c>
      <c r="AA35" s="57">
        <f t="shared" si="6"/>
        <v>29.79612663658293</v>
      </c>
      <c r="AB35" s="54"/>
      <c r="AC35" s="54"/>
      <c r="AD35" s="54"/>
      <c r="AE35" s="54"/>
      <c r="AF35" s="54"/>
    </row>
    <row r="36" spans="1:32" ht="12.75">
      <c r="A36" s="57">
        <v>3000</v>
      </c>
      <c r="B36" s="57"/>
      <c r="C36" s="55"/>
      <c r="D36" s="55"/>
      <c r="E36" s="58" t="s">
        <v>1917</v>
      </c>
      <c r="F36" s="54"/>
      <c r="G36" s="54"/>
      <c r="H36" s="54"/>
      <c r="I36" s="54"/>
      <c r="J36" s="54"/>
      <c r="K36" s="54"/>
      <c r="L36" s="54"/>
      <c r="M36" s="54"/>
      <c r="N36" s="54"/>
      <c r="O36" s="54"/>
      <c r="P36" s="54"/>
      <c r="Q36" s="54"/>
      <c r="R36" s="54"/>
      <c r="S36" s="54"/>
      <c r="T36" s="54"/>
      <c r="U36" s="54"/>
      <c r="V36" s="57" t="e">
        <f>#REF!*100/A35</f>
        <v>#REF!</v>
      </c>
      <c r="W36" s="57" t="e">
        <f>100*#REF!/A35</f>
        <v>#REF!</v>
      </c>
      <c r="X36" s="57" t="e">
        <f>#REF!*100/A35</f>
        <v>#REF!</v>
      </c>
      <c r="Y36" s="55">
        <f>100*Y35/A35</f>
        <v>0.4655809982218633</v>
      </c>
      <c r="Z36" s="54"/>
      <c r="AA36" s="54" t="e">
        <f>100*#REF!/A35</f>
        <v>#REF!</v>
      </c>
      <c r="AB36" s="54" t="s">
        <v>1786</v>
      </c>
      <c r="AC36" s="54"/>
      <c r="AD36" s="57" t="e">
        <f>#REF!-A35</f>
        <v>#REF!</v>
      </c>
      <c r="AE36" s="54" t="s">
        <v>1921</v>
      </c>
      <c r="AF36" s="54"/>
    </row>
    <row r="37" spans="1:32" ht="12.75">
      <c r="A37" s="57">
        <f>A36-A35</f>
        <v>-316.739943493239</v>
      </c>
      <c r="B37" s="57"/>
      <c r="C37" s="57"/>
      <c r="D37" s="54"/>
      <c r="E37" s="54" t="s">
        <v>1497</v>
      </c>
      <c r="F37" s="54"/>
      <c r="G37" s="54"/>
      <c r="H37" s="54"/>
      <c r="I37" s="83"/>
      <c r="J37" s="54"/>
      <c r="K37" s="54"/>
      <c r="L37" s="54"/>
      <c r="M37" s="54"/>
      <c r="N37" s="54"/>
      <c r="O37" s="55"/>
      <c r="P37" s="54"/>
      <c r="Q37" s="54"/>
      <c r="R37" s="54"/>
      <c r="S37" s="54"/>
      <c r="T37" s="54"/>
      <c r="U37" s="54"/>
      <c r="V37" s="54"/>
      <c r="W37" s="54"/>
      <c r="X37" s="54"/>
      <c r="Y37" s="54"/>
      <c r="Z37" s="54" t="e">
        <f>Z35/#REF!</f>
        <v>#REF!</v>
      </c>
      <c r="AA37" s="54" t="s">
        <v>1923</v>
      </c>
      <c r="AB37" s="54"/>
      <c r="AC37" s="54"/>
      <c r="AD37" s="54"/>
      <c r="AE37" s="54"/>
      <c r="AF37" s="54"/>
    </row>
    <row r="38" spans="1:32" ht="12.75">
      <c r="A38" s="57">
        <v>4000</v>
      </c>
      <c r="B38" s="54"/>
      <c r="C38" s="57"/>
      <c r="D38" s="54"/>
      <c r="E38" s="58" t="s">
        <v>447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row>
    <row r="39" spans="1:32" ht="12.75">
      <c r="A39" s="57">
        <f>A38-A35</f>
        <v>683.260056506761</v>
      </c>
      <c r="B39" s="54"/>
      <c r="C39" s="57"/>
      <c r="D39" s="54"/>
      <c r="E39" s="54" t="s">
        <v>448</v>
      </c>
      <c r="F39" s="54"/>
      <c r="G39" s="54"/>
      <c r="H39" s="54"/>
      <c r="I39" s="83"/>
      <c r="J39" s="54"/>
      <c r="K39" s="54"/>
      <c r="L39" s="54"/>
      <c r="M39" s="54"/>
      <c r="N39" s="54"/>
      <c r="O39" s="55"/>
      <c r="P39" s="54"/>
      <c r="Q39" s="54"/>
      <c r="R39" s="54"/>
      <c r="S39" s="54"/>
      <c r="T39" s="54"/>
      <c r="U39" s="54"/>
      <c r="V39" s="54"/>
      <c r="W39" s="54"/>
      <c r="X39" s="54"/>
      <c r="Y39" s="54"/>
      <c r="Z39" s="54"/>
      <c r="AA39" s="54"/>
      <c r="AB39" s="54"/>
      <c r="AC39" s="54"/>
      <c r="AD39" s="54"/>
      <c r="AE39" s="54"/>
      <c r="AF39" s="54"/>
    </row>
    <row r="40" spans="1:32" ht="12.75">
      <c r="A40" s="54"/>
      <c r="B40" s="54">
        <v>26</v>
      </c>
      <c r="C40" s="55">
        <f>B40/28.349523</f>
        <v>0.917123014732911</v>
      </c>
      <c r="D40" s="57"/>
      <c r="E40" s="54" t="s">
        <v>461</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row>
    <row r="41" spans="2:5" ht="12.75">
      <c r="B41" s="2">
        <f>SUM(B1:B34)</f>
        <v>3167.048569</v>
      </c>
      <c r="C41" s="2">
        <f>B41/28.349523</f>
        <v>111.71435120795506</v>
      </c>
      <c r="D41" s="2">
        <f>C41/16</f>
        <v>6.982146950497191</v>
      </c>
      <c r="E41" t="s">
        <v>470</v>
      </c>
    </row>
    <row r="43" spans="1:5" ht="12.75">
      <c r="A43" s="54"/>
      <c r="B43" s="57"/>
      <c r="C43" s="55"/>
      <c r="D43" s="55"/>
      <c r="E43" s="12" t="s">
        <v>1025</v>
      </c>
    </row>
    <row r="44" spans="1:5" ht="12.75">
      <c r="A44" s="54"/>
      <c r="B44" s="57">
        <v>50</v>
      </c>
      <c r="C44" s="55">
        <f aca="true" t="shared" si="7" ref="C44:C56">B44/28.349523</f>
        <v>1.763698105255598</v>
      </c>
      <c r="D44" s="55">
        <f aca="true" t="shared" si="8" ref="D44:D56">C44/16</f>
        <v>0.11023113157847488</v>
      </c>
      <c r="E44" s="12" t="s">
        <v>318</v>
      </c>
    </row>
    <row r="45" spans="1:5" ht="12.75">
      <c r="A45" s="54"/>
      <c r="B45" s="57">
        <v>324</v>
      </c>
      <c r="C45" s="55">
        <f t="shared" si="7"/>
        <v>11.428763722056276</v>
      </c>
      <c r="D45" s="55">
        <f t="shared" si="8"/>
        <v>0.7142977326285173</v>
      </c>
      <c r="E45" s="12" t="s">
        <v>1170</v>
      </c>
    </row>
    <row r="46" spans="1:5" ht="12.75">
      <c r="A46" s="54"/>
      <c r="B46" s="57">
        <v>35</v>
      </c>
      <c r="C46" s="55">
        <f t="shared" si="7"/>
        <v>1.2345886736789187</v>
      </c>
      <c r="D46" s="55">
        <f t="shared" si="8"/>
        <v>0.07716179210493242</v>
      </c>
      <c r="E46" s="12" t="s">
        <v>321</v>
      </c>
    </row>
    <row r="47" spans="1:5" ht="12.75">
      <c r="A47" s="54"/>
      <c r="B47" s="57">
        <v>141</v>
      </c>
      <c r="C47" s="55">
        <f t="shared" si="7"/>
        <v>4.973628656820787</v>
      </c>
      <c r="D47" s="55">
        <f t="shared" si="8"/>
        <v>0.3108517910512992</v>
      </c>
      <c r="E47" s="12" t="s">
        <v>1172</v>
      </c>
    </row>
    <row r="48" spans="1:5" ht="12.75">
      <c r="A48" s="54"/>
      <c r="B48" s="57">
        <v>55</v>
      </c>
      <c r="C48" s="55">
        <f t="shared" si="7"/>
        <v>1.9400679157811578</v>
      </c>
      <c r="D48" s="55">
        <f t="shared" si="8"/>
        <v>0.12125424473632236</v>
      </c>
      <c r="E48" s="12" t="s">
        <v>319</v>
      </c>
    </row>
    <row r="49" spans="1:5" ht="12.75">
      <c r="A49" s="54"/>
      <c r="B49" s="57">
        <f>B48+B47</f>
        <v>196</v>
      </c>
      <c r="C49" s="55">
        <f t="shared" si="7"/>
        <v>6.913696572601944</v>
      </c>
      <c r="D49" s="55">
        <f t="shared" si="8"/>
        <v>0.4321060357876215</v>
      </c>
      <c r="E49" t="s">
        <v>1107</v>
      </c>
    </row>
    <row r="50" spans="1:5" ht="12.75">
      <c r="A50" s="54"/>
      <c r="B50" s="57">
        <v>12</v>
      </c>
      <c r="C50" s="55">
        <f t="shared" si="7"/>
        <v>0.42328754526134355</v>
      </c>
      <c r="D50" s="55">
        <f t="shared" si="8"/>
        <v>0.02645547157883397</v>
      </c>
      <c r="E50" t="s">
        <v>462</v>
      </c>
    </row>
    <row r="51" spans="1:5" ht="12.75">
      <c r="A51" s="54"/>
      <c r="B51" s="57">
        <v>35</v>
      </c>
      <c r="C51" s="55">
        <f t="shared" si="7"/>
        <v>1.2345886736789187</v>
      </c>
      <c r="D51" s="55">
        <f t="shared" si="8"/>
        <v>0.07716179210493242</v>
      </c>
      <c r="E51" t="s">
        <v>1412</v>
      </c>
    </row>
    <row r="52" spans="2:6" ht="12.75">
      <c r="B52" s="9">
        <v>219</v>
      </c>
      <c r="C52" s="2">
        <f>B52/28.349523</f>
        <v>7.724997701019519</v>
      </c>
      <c r="D52" s="2">
        <f>C52/16</f>
        <v>0.48281235631371994</v>
      </c>
      <c r="E52" t="s">
        <v>1048</v>
      </c>
      <c r="F52" s="3"/>
    </row>
    <row r="53" spans="1:5" ht="12.75">
      <c r="A53" s="54"/>
      <c r="B53" s="57">
        <v>6</v>
      </c>
      <c r="C53" s="55">
        <f t="shared" si="7"/>
        <v>0.21164377263067177</v>
      </c>
      <c r="D53" s="55">
        <f t="shared" si="8"/>
        <v>0.013227735789416986</v>
      </c>
      <c r="E53" s="12" t="s">
        <v>1518</v>
      </c>
    </row>
    <row r="54" spans="1:5" ht="12.75">
      <c r="A54" s="54"/>
      <c r="B54" s="57">
        <v>12</v>
      </c>
      <c r="C54" s="55">
        <f>B54/28.349523</f>
        <v>0.42328754526134355</v>
      </c>
      <c r="D54" s="55"/>
      <c r="E54" t="s">
        <v>754</v>
      </c>
    </row>
    <row r="55" spans="1:5" ht="12.75">
      <c r="A55" s="54"/>
      <c r="B55" s="61">
        <v>53</v>
      </c>
      <c r="C55" s="55">
        <f t="shared" si="7"/>
        <v>1.869519991570934</v>
      </c>
      <c r="D55" s="55">
        <f t="shared" si="8"/>
        <v>0.11684499947318337</v>
      </c>
      <c r="E55" s="11" t="s">
        <v>1069</v>
      </c>
    </row>
    <row r="56" spans="1:5" ht="12.75">
      <c r="A56" s="54"/>
      <c r="B56" s="57">
        <f>SUM(B44:B55)</f>
        <v>1138</v>
      </c>
      <c r="C56" s="55">
        <f t="shared" si="7"/>
        <v>40.14176887561741</v>
      </c>
      <c r="D56" s="55">
        <f t="shared" si="8"/>
        <v>2.508860554726088</v>
      </c>
      <c r="E56" s="11" t="s">
        <v>1509</v>
      </c>
    </row>
    <row r="58" spans="1:6" ht="12.75">
      <c r="A58" s="54"/>
      <c r="B58" s="57">
        <v>145</v>
      </c>
      <c r="C58" s="55">
        <f>B58/28.349523</f>
        <v>5.1147245052412345</v>
      </c>
      <c r="D58" s="55">
        <f>C58/16</f>
        <v>0.31967028157757715</v>
      </c>
      <c r="E58" t="s">
        <v>1783</v>
      </c>
      <c r="F58" s="3"/>
    </row>
    <row r="59" spans="1:31" ht="12.75">
      <c r="A59" s="54"/>
      <c r="B59" s="57">
        <v>46</v>
      </c>
      <c r="C59" s="55">
        <f>B59/28.349523</f>
        <v>1.6226022568351501</v>
      </c>
      <c r="D59" s="55">
        <f>C59/16</f>
        <v>0.10141264105219688</v>
      </c>
      <c r="E59" s="63" t="s">
        <v>465</v>
      </c>
      <c r="F59" s="64"/>
      <c r="G59" s="65"/>
      <c r="H59" s="65"/>
      <c r="I59" s="65"/>
      <c r="J59" s="65"/>
      <c r="K59" s="65"/>
      <c r="L59" s="65"/>
      <c r="M59" s="65"/>
      <c r="N59" s="65"/>
      <c r="O59" s="65"/>
      <c r="P59" s="65"/>
      <c r="Q59" s="65"/>
      <c r="R59" s="65"/>
      <c r="S59" s="65"/>
      <c r="T59" s="65"/>
      <c r="U59" s="65"/>
      <c r="V59" s="65"/>
      <c r="W59" s="65"/>
      <c r="X59" s="65"/>
      <c r="Y59" s="65"/>
      <c r="Z59" s="65"/>
      <c r="AA59" s="65"/>
      <c r="AB59" s="65"/>
      <c r="AC59" s="65"/>
      <c r="AD59" s="65"/>
      <c r="AE59" s="66"/>
    </row>
    <row r="60" spans="1:5" ht="12.75">
      <c r="A60" s="54"/>
      <c r="B60" s="57">
        <v>24</v>
      </c>
      <c r="C60" s="55">
        <f>B60/28.349523</f>
        <v>0.8465750905226871</v>
      </c>
      <c r="D60" s="55">
        <f>C60/16</f>
        <v>0.05291094315766794</v>
      </c>
      <c r="E60" s="12" t="s">
        <v>91</v>
      </c>
    </row>
    <row r="61" ht="12.75">
      <c r="E61" s="95"/>
    </row>
    <row r="62" ht="12.75">
      <c r="E62" s="95"/>
    </row>
    <row r="63" ht="12.75">
      <c r="E63" s="95"/>
    </row>
    <row r="64" ht="12.75">
      <c r="E64" s="95"/>
    </row>
    <row r="65" ht="12.75">
      <c r="E65" s="95"/>
    </row>
    <row r="66" ht="12.75">
      <c r="E66" s="95"/>
    </row>
    <row r="67" ht="12.75">
      <c r="E67" s="95"/>
    </row>
    <row r="70" ht="12.75">
      <c r="E70" t="s">
        <v>1969</v>
      </c>
    </row>
    <row r="71" ht="12.75">
      <c r="E71" t="s">
        <v>2000</v>
      </c>
    </row>
    <row r="72" ht="12.75">
      <c r="E72" t="s">
        <v>1970</v>
      </c>
    </row>
    <row r="73" ht="12.75">
      <c r="E73" t="s">
        <v>1972</v>
      </c>
    </row>
    <row r="74" ht="12.75">
      <c r="E74" t="s">
        <v>1973</v>
      </c>
    </row>
    <row r="75" ht="12.75">
      <c r="E75" t="s">
        <v>1974</v>
      </c>
    </row>
    <row r="76" ht="12.75">
      <c r="E76" t="s">
        <v>1975</v>
      </c>
    </row>
    <row r="77" ht="12.75">
      <c r="E77" t="s">
        <v>1067</v>
      </c>
    </row>
    <row r="78" ht="12.75">
      <c r="E78" t="s">
        <v>488</v>
      </c>
    </row>
    <row r="79" ht="12.75">
      <c r="E79" t="s">
        <v>1927</v>
      </c>
    </row>
    <row r="81" ht="12.75">
      <c r="E81" s="54" t="s">
        <v>1783</v>
      </c>
    </row>
    <row r="82" ht="12.75">
      <c r="E82" s="58" t="s">
        <v>1971</v>
      </c>
    </row>
    <row r="83" ht="12.75">
      <c r="E83" s="56" t="s">
        <v>91</v>
      </c>
    </row>
    <row r="84" ht="12.75">
      <c r="E84" s="97" t="s">
        <v>1967</v>
      </c>
    </row>
    <row r="85" ht="12.75">
      <c r="E85" s="97" t="s">
        <v>354</v>
      </c>
    </row>
    <row r="86" ht="12.75">
      <c r="E86" s="97" t="s">
        <v>481</v>
      </c>
    </row>
    <row r="87" ht="12.75">
      <c r="E87" s="97" t="s">
        <v>1968</v>
      </c>
    </row>
    <row r="88" ht="12.75">
      <c r="E88" s="97" t="s">
        <v>1965</v>
      </c>
    </row>
    <row r="89" ht="12.75">
      <c r="E89" s="97" t="s">
        <v>1966</v>
      </c>
    </row>
    <row r="90" ht="12.75">
      <c r="E90" s="97" t="s">
        <v>355</v>
      </c>
    </row>
    <row r="91" ht="12.75">
      <c r="E91" s="97" t="s">
        <v>1997</v>
      </c>
    </row>
  </sheetData>
  <printOptions/>
  <pageMargins left="0.75" right="0.75" top="1" bottom="1" header="0.5" footer="0.5"/>
  <pageSetup orientation="portrait" r:id="rId1"/>
</worksheet>
</file>

<file path=xl/worksheets/sheet28.xml><?xml version="1.0" encoding="utf-8"?>
<worksheet xmlns="http://schemas.openxmlformats.org/spreadsheetml/2006/main" xmlns:r="http://schemas.openxmlformats.org/officeDocument/2006/relationships">
  <dimension ref="A1:G59"/>
  <sheetViews>
    <sheetView workbookViewId="0" topLeftCell="A1">
      <selection activeCell="A27" sqref="A27:IV33"/>
    </sheetView>
  </sheetViews>
  <sheetFormatPr defaultColWidth="9.140625" defaultRowHeight="12.75"/>
  <cols>
    <col min="3" max="3" width="81.28125" style="0" customWidth="1"/>
  </cols>
  <sheetData>
    <row r="1" spans="1:3" ht="12.75">
      <c r="A1" s="55"/>
      <c r="B1" s="55"/>
      <c r="C1" s="59"/>
    </row>
    <row r="2" spans="1:3" ht="12.75">
      <c r="A2" s="55"/>
      <c r="B2" s="55"/>
      <c r="C2" s="59" t="s">
        <v>1709</v>
      </c>
    </row>
    <row r="3" spans="1:3" ht="12.75">
      <c r="A3" s="55"/>
      <c r="B3" s="55"/>
      <c r="C3" s="58" t="s">
        <v>1068</v>
      </c>
    </row>
    <row r="4" spans="1:3" ht="12.75">
      <c r="A4" s="55"/>
      <c r="B4" s="55"/>
      <c r="C4" s="56" t="s">
        <v>92</v>
      </c>
    </row>
    <row r="5" spans="1:3" ht="12.75">
      <c r="A5" s="55"/>
      <c r="B5" s="55"/>
      <c r="C5" s="96" t="s">
        <v>232</v>
      </c>
    </row>
    <row r="6" spans="1:3" ht="12.75">
      <c r="A6" s="55"/>
      <c r="B6" s="55"/>
      <c r="C6" s="54" t="s">
        <v>472</v>
      </c>
    </row>
    <row r="7" spans="1:3" ht="12.75">
      <c r="A7" s="55"/>
      <c r="B7" s="55"/>
      <c r="C7" s="54" t="s">
        <v>1516</v>
      </c>
    </row>
    <row r="8" spans="1:3" ht="12.75">
      <c r="A8" s="55"/>
      <c r="B8" s="55"/>
      <c r="C8" s="54" t="s">
        <v>471</v>
      </c>
    </row>
    <row r="9" spans="1:4" ht="12.75">
      <c r="A9" s="55"/>
      <c r="B9" s="55"/>
      <c r="C9" s="96" t="s">
        <v>2069</v>
      </c>
      <c r="D9" s="3"/>
    </row>
    <row r="10" spans="1:4" ht="12.75">
      <c r="A10" s="55"/>
      <c r="B10" s="55"/>
      <c r="C10" s="96" t="s">
        <v>64</v>
      </c>
      <c r="D10" s="3"/>
    </row>
    <row r="11" spans="1:4" ht="12.75">
      <c r="A11" s="55"/>
      <c r="B11" s="55"/>
      <c r="C11" s="62" t="s">
        <v>726</v>
      </c>
      <c r="D11" s="3"/>
    </row>
    <row r="12" spans="1:4" ht="12.75">
      <c r="A12" s="55"/>
      <c r="B12" s="55"/>
      <c r="C12" s="56" t="s">
        <v>360</v>
      </c>
      <c r="D12" s="3"/>
    </row>
    <row r="13" spans="1:4" ht="12.75">
      <c r="A13" s="55"/>
      <c r="B13" s="55"/>
      <c r="C13" s="56" t="s">
        <v>1960</v>
      </c>
      <c r="D13" s="3"/>
    </row>
    <row r="14" spans="1:4" ht="12.75">
      <c r="A14" s="54"/>
      <c r="B14" s="55"/>
      <c r="C14" s="55" t="s">
        <v>1963</v>
      </c>
      <c r="D14" s="3"/>
    </row>
    <row r="15" spans="1:4" ht="12.75">
      <c r="A15" s="54"/>
      <c r="B15" s="55"/>
      <c r="C15" s="55" t="s">
        <v>1961</v>
      </c>
      <c r="D15" s="3"/>
    </row>
    <row r="16" spans="1:3" ht="12.75">
      <c r="A16" s="54"/>
      <c r="B16" s="55"/>
      <c r="C16" s="56" t="s">
        <v>1962</v>
      </c>
    </row>
    <row r="17" spans="1:4" ht="12.75">
      <c r="A17" s="55"/>
      <c r="B17" s="55"/>
      <c r="C17" s="54" t="s">
        <v>827</v>
      </c>
      <c r="D17" s="3"/>
    </row>
    <row r="18" spans="1:3" ht="12.75">
      <c r="A18" s="55"/>
      <c r="B18" s="55"/>
      <c r="C18" s="96" t="s">
        <v>2068</v>
      </c>
    </row>
    <row r="19" spans="1:3" ht="12.75">
      <c r="A19" s="55"/>
      <c r="B19" s="55"/>
      <c r="C19" s="54" t="s">
        <v>1977</v>
      </c>
    </row>
    <row r="20" spans="1:3" ht="12.75">
      <c r="A20" s="55"/>
      <c r="B20" s="55"/>
      <c r="C20" s="97" t="s">
        <v>1290</v>
      </c>
    </row>
    <row r="21" spans="1:3" ht="12.75">
      <c r="A21" s="87"/>
      <c r="B21" s="87"/>
      <c r="C21" s="59" t="s">
        <v>474</v>
      </c>
    </row>
    <row r="22" spans="1:3" ht="12.75">
      <c r="A22" s="87"/>
      <c r="B22" s="87"/>
      <c r="C22" s="59" t="s">
        <v>366</v>
      </c>
    </row>
    <row r="23" spans="1:3" ht="12.75">
      <c r="A23" s="54"/>
      <c r="B23" s="54"/>
      <c r="C23" s="59" t="s">
        <v>367</v>
      </c>
    </row>
    <row r="24" spans="1:3" ht="12.75">
      <c r="A24" s="55"/>
      <c r="B24" s="55"/>
      <c r="C24" s="96" t="s">
        <v>469</v>
      </c>
    </row>
    <row r="25" spans="1:3" ht="12.75">
      <c r="A25" s="55"/>
      <c r="B25" s="55"/>
      <c r="C25" s="56" t="s">
        <v>361</v>
      </c>
    </row>
    <row r="26" spans="1:3" ht="12.75">
      <c r="A26" s="55"/>
      <c r="B26" s="55"/>
      <c r="C26" s="96" t="s">
        <v>476</v>
      </c>
    </row>
    <row r="27" spans="1:7" ht="12.75">
      <c r="A27" s="55"/>
      <c r="B27" s="55"/>
      <c r="C27" s="58" t="s">
        <v>636</v>
      </c>
      <c r="D27" s="9"/>
      <c r="G27" s="10"/>
    </row>
    <row r="28" spans="1:7" ht="12.75">
      <c r="A28" s="55"/>
      <c r="B28" s="55"/>
      <c r="C28" s="58" t="s">
        <v>473</v>
      </c>
      <c r="D28" s="9"/>
      <c r="G28" s="6"/>
    </row>
    <row r="29" spans="1:7" ht="12.75">
      <c r="A29" s="55"/>
      <c r="B29" s="55"/>
      <c r="C29" s="58" t="s">
        <v>356</v>
      </c>
      <c r="D29" s="9"/>
      <c r="G29" s="10"/>
    </row>
    <row r="30" spans="1:7" ht="12.75">
      <c r="A30" s="55"/>
      <c r="B30" s="55"/>
      <c r="C30" s="58" t="s">
        <v>253</v>
      </c>
      <c r="D30" s="9"/>
      <c r="G30" s="10"/>
    </row>
    <row r="31" spans="1:7" ht="12.75">
      <c r="A31" s="55"/>
      <c r="B31" s="55"/>
      <c r="C31" s="58" t="s">
        <v>531</v>
      </c>
      <c r="D31" s="9"/>
      <c r="G31" s="10"/>
    </row>
    <row r="32" spans="1:7" ht="12.75">
      <c r="A32" s="55"/>
      <c r="B32" s="55"/>
      <c r="C32" s="58" t="s">
        <v>1959</v>
      </c>
      <c r="D32" s="9"/>
      <c r="G32" s="2"/>
    </row>
    <row r="33" spans="1:3" ht="12.75">
      <c r="A33" s="55"/>
      <c r="B33" s="55"/>
      <c r="C33" s="58" t="s">
        <v>1845</v>
      </c>
    </row>
    <row r="34" spans="1:4" ht="12.75">
      <c r="A34" s="55"/>
      <c r="B34" s="55"/>
      <c r="C34" s="56" t="s">
        <v>1964</v>
      </c>
      <c r="D34" s="3"/>
    </row>
    <row r="35" spans="1:3" ht="12.75">
      <c r="A35" s="55"/>
      <c r="B35" s="55"/>
      <c r="C35" s="56" t="s">
        <v>318</v>
      </c>
    </row>
    <row r="36" spans="1:3" ht="12.75">
      <c r="A36" s="55"/>
      <c r="B36" s="55"/>
      <c r="C36" s="56" t="s">
        <v>1170</v>
      </c>
    </row>
    <row r="37" spans="1:3" ht="12.75">
      <c r="A37" s="55"/>
      <c r="B37" s="55"/>
      <c r="C37" s="56" t="s">
        <v>321</v>
      </c>
    </row>
    <row r="38" spans="1:3" ht="12.75">
      <c r="A38" s="55"/>
      <c r="B38" s="55"/>
      <c r="C38" s="56" t="s">
        <v>1172</v>
      </c>
    </row>
    <row r="39" spans="1:3" ht="12.75">
      <c r="A39" s="55"/>
      <c r="B39" s="55"/>
      <c r="C39" s="56" t="s">
        <v>319</v>
      </c>
    </row>
    <row r="40" spans="1:3" ht="12.75">
      <c r="A40" s="55"/>
      <c r="B40" s="55"/>
      <c r="C40" s="54" t="s">
        <v>1107</v>
      </c>
    </row>
    <row r="41" spans="1:3" ht="12.75">
      <c r="A41" s="55"/>
      <c r="B41" s="55"/>
      <c r="C41" s="54" t="s">
        <v>462</v>
      </c>
    </row>
    <row r="42" spans="1:3" ht="12.75">
      <c r="A42" s="55"/>
      <c r="B42" s="55"/>
      <c r="C42" s="54" t="s">
        <v>1412</v>
      </c>
    </row>
    <row r="43" spans="1:3" ht="12.75">
      <c r="A43" s="55"/>
      <c r="B43" s="55"/>
      <c r="C43" s="54" t="s">
        <v>1048</v>
      </c>
    </row>
    <row r="44" spans="1:3" ht="12.75">
      <c r="A44" s="55"/>
      <c r="B44" s="55"/>
      <c r="C44" s="56" t="s">
        <v>1518</v>
      </c>
    </row>
    <row r="45" spans="1:3" ht="12.75">
      <c r="A45" s="55"/>
      <c r="B45" s="55"/>
      <c r="C45" s="54" t="s">
        <v>754</v>
      </c>
    </row>
    <row r="46" spans="1:3" ht="12.75">
      <c r="A46" s="55"/>
      <c r="B46" s="55"/>
      <c r="C46" s="58" t="s">
        <v>1069</v>
      </c>
    </row>
    <row r="47" spans="1:3" ht="12.75">
      <c r="A47" s="55"/>
      <c r="B47" s="55"/>
      <c r="C47" s="58"/>
    </row>
    <row r="48" spans="1:3" ht="12.75">
      <c r="A48" s="55"/>
      <c r="B48" s="55"/>
      <c r="C48" s="54" t="s">
        <v>1783</v>
      </c>
    </row>
    <row r="49" spans="1:3" ht="12.75">
      <c r="A49" s="55"/>
      <c r="B49" s="55"/>
      <c r="C49" s="58" t="s">
        <v>1971</v>
      </c>
    </row>
    <row r="50" spans="1:3" ht="12.75">
      <c r="A50" s="55"/>
      <c r="B50" s="55"/>
      <c r="C50" s="56" t="s">
        <v>91</v>
      </c>
    </row>
    <row r="51" spans="1:3" ht="12.75">
      <c r="A51" s="54"/>
      <c r="B51" s="54"/>
      <c r="C51" s="97" t="s">
        <v>1967</v>
      </c>
    </row>
    <row r="52" spans="1:3" ht="12.75">
      <c r="A52" s="54"/>
      <c r="B52" s="54"/>
      <c r="C52" s="97" t="s">
        <v>354</v>
      </c>
    </row>
    <row r="53" spans="1:3" ht="12.75">
      <c r="A53" s="54"/>
      <c r="B53" s="54"/>
      <c r="C53" s="97" t="s">
        <v>481</v>
      </c>
    </row>
    <row r="54" spans="1:3" ht="12.75">
      <c r="A54" s="54"/>
      <c r="B54" s="54"/>
      <c r="C54" s="97" t="s">
        <v>1968</v>
      </c>
    </row>
    <row r="55" spans="1:3" ht="12.75">
      <c r="A55" s="54"/>
      <c r="B55" s="54"/>
      <c r="C55" s="97" t="s">
        <v>1965</v>
      </c>
    </row>
    <row r="56" spans="1:3" ht="12.75">
      <c r="A56" s="54"/>
      <c r="B56" s="54"/>
      <c r="C56" s="97" t="s">
        <v>1966</v>
      </c>
    </row>
    <row r="57" spans="1:3" ht="12.75">
      <c r="A57" s="54"/>
      <c r="B57" s="54"/>
      <c r="C57" s="97" t="s">
        <v>355</v>
      </c>
    </row>
    <row r="58" spans="1:3" ht="12.75">
      <c r="A58" s="54"/>
      <c r="B58" s="54"/>
      <c r="C58" s="97" t="s">
        <v>1997</v>
      </c>
    </row>
    <row r="59" spans="1:3" ht="12.75">
      <c r="A59" s="54"/>
      <c r="B59" s="54"/>
      <c r="C59" s="54"/>
    </row>
  </sheetData>
  <printOptions/>
  <pageMargins left="0.38" right="0.31" top="0.33" bottom="0.24" header="0.12" footer="0.2"/>
  <pageSetup orientation="portrait" r:id="rId1"/>
</worksheet>
</file>

<file path=xl/worksheets/sheet29.xml><?xml version="1.0" encoding="utf-8"?>
<worksheet xmlns="http://schemas.openxmlformats.org/spreadsheetml/2006/main" xmlns:r="http://schemas.openxmlformats.org/officeDocument/2006/relationships">
  <dimension ref="A1:AF127"/>
  <sheetViews>
    <sheetView workbookViewId="0" topLeftCell="A1">
      <pane ySplit="1" topLeftCell="BM2" activePane="bottomLeft" state="frozen"/>
      <selection pane="topLeft" activeCell="A1" sqref="A1"/>
      <selection pane="bottomLeft" activeCell="E35" sqref="E35"/>
    </sheetView>
  </sheetViews>
  <sheetFormatPr defaultColWidth="9.140625" defaultRowHeight="12.75"/>
  <cols>
    <col min="1" max="1" width="6.7109375" style="0" customWidth="1"/>
    <col min="2" max="2" width="6.140625" style="0" customWidth="1"/>
    <col min="3" max="3" width="4.8515625" style="0" customWidth="1"/>
    <col min="4" max="4" width="5.140625" style="0" customWidth="1"/>
    <col min="5" max="5" width="21.28125" style="12" customWidth="1"/>
    <col min="6" max="6" width="4.7109375" style="0" customWidth="1"/>
    <col min="7" max="7" width="4.00390625" style="0" customWidth="1"/>
    <col min="8" max="8" width="3.8515625" style="0" customWidth="1"/>
    <col min="9" max="9" width="4.28125" style="0" customWidth="1"/>
    <col min="10" max="10" width="4.140625" style="0" customWidth="1"/>
    <col min="11" max="11" width="3.57421875" style="0" customWidth="1"/>
    <col min="12" max="12" width="4.140625" style="0" customWidth="1"/>
    <col min="13" max="13" width="3.28125" style="0" customWidth="1"/>
    <col min="14" max="14" width="3.57421875" style="0" customWidth="1"/>
    <col min="15" max="15" width="3.7109375" style="0" customWidth="1"/>
    <col min="16" max="16" width="3.00390625" style="0" customWidth="1"/>
    <col min="17" max="17" width="3.7109375" style="0" customWidth="1"/>
    <col min="18" max="18" width="2.8515625" style="0" customWidth="1"/>
    <col min="19" max="19" width="3.421875" style="0" customWidth="1"/>
    <col min="20" max="20" width="3.00390625" style="0" customWidth="1"/>
    <col min="21" max="21" width="3.7109375" style="0" customWidth="1"/>
    <col min="22" max="24" width="4.28125" style="0" customWidth="1"/>
    <col min="25" max="26" width="3.8515625" style="0" customWidth="1"/>
    <col min="27" max="27" width="4.7109375" style="0" customWidth="1"/>
  </cols>
  <sheetData>
    <row r="1" spans="1:5" ht="12.75">
      <c r="A1" s="54" t="s">
        <v>697</v>
      </c>
      <c r="B1" s="54" t="s">
        <v>1603</v>
      </c>
      <c r="C1" s="54" t="s">
        <v>463</v>
      </c>
      <c r="D1" s="54" t="s">
        <v>464</v>
      </c>
      <c r="E1" s="12" t="s">
        <v>2075</v>
      </c>
    </row>
    <row r="2" spans="1:6" ht="12.75">
      <c r="A2" s="54"/>
      <c r="B2" s="54"/>
      <c r="C2" s="54"/>
      <c r="D2" s="54"/>
      <c r="E2" s="12" t="s">
        <v>1494</v>
      </c>
      <c r="F2" s="12"/>
    </row>
    <row r="3" spans="1:5" ht="12.75">
      <c r="A3" s="54"/>
      <c r="B3" s="57"/>
      <c r="C3" s="55"/>
      <c r="D3" s="55"/>
      <c r="E3" s="12" t="s">
        <v>1025</v>
      </c>
    </row>
    <row r="4" spans="1:5" ht="12.75">
      <c r="A4" s="54"/>
      <c r="B4" s="57">
        <v>50</v>
      </c>
      <c r="C4" s="55">
        <f aca="true" t="shared" si="0" ref="C4:C16">B4/28.349523</f>
        <v>1.763698105255598</v>
      </c>
      <c r="D4" s="55">
        <f aca="true" t="shared" si="1" ref="D4:D16">C4/16</f>
        <v>0.11023113157847488</v>
      </c>
      <c r="E4" s="12" t="s">
        <v>318</v>
      </c>
    </row>
    <row r="5" spans="1:5" ht="12.75">
      <c r="A5" s="54"/>
      <c r="B5" s="57">
        <v>107</v>
      </c>
      <c r="C5" s="55">
        <f t="shared" si="0"/>
        <v>3.7743139452469796</v>
      </c>
      <c r="D5" s="55">
        <f t="shared" si="1"/>
        <v>0.23589462157793623</v>
      </c>
      <c r="E5" t="s">
        <v>1554</v>
      </c>
    </row>
    <row r="6" spans="1:5" ht="12.75">
      <c r="A6" s="54"/>
      <c r="B6" s="57">
        <v>35</v>
      </c>
      <c r="C6" s="55">
        <f t="shared" si="0"/>
        <v>1.2345886736789187</v>
      </c>
      <c r="D6" s="55">
        <f t="shared" si="1"/>
        <v>0.07716179210493242</v>
      </c>
      <c r="E6" s="12" t="s">
        <v>321</v>
      </c>
    </row>
    <row r="7" spans="1:5" ht="12.75">
      <c r="A7" s="54"/>
      <c r="B7" s="57">
        <v>141</v>
      </c>
      <c r="C7" s="55">
        <f t="shared" si="0"/>
        <v>4.973628656820787</v>
      </c>
      <c r="D7" s="55">
        <f t="shared" si="1"/>
        <v>0.3108517910512992</v>
      </c>
      <c r="E7" s="12" t="s">
        <v>1172</v>
      </c>
    </row>
    <row r="8" spans="1:5" ht="12.75">
      <c r="A8" s="54"/>
      <c r="B8" s="57">
        <v>55</v>
      </c>
      <c r="C8" s="55">
        <f t="shared" si="0"/>
        <v>1.9400679157811578</v>
      </c>
      <c r="D8" s="55">
        <f t="shared" si="1"/>
        <v>0.12125424473632236</v>
      </c>
      <c r="E8" s="12" t="s">
        <v>319</v>
      </c>
    </row>
    <row r="9" spans="1:10" ht="12.75">
      <c r="A9" s="54"/>
      <c r="B9" s="57">
        <f>B8+B7</f>
        <v>196</v>
      </c>
      <c r="C9" s="55">
        <f t="shared" si="0"/>
        <v>6.913696572601944</v>
      </c>
      <c r="D9" s="55">
        <f t="shared" si="1"/>
        <v>0.4321060357876215</v>
      </c>
      <c r="E9" t="s">
        <v>1107</v>
      </c>
      <c r="J9" s="2"/>
    </row>
    <row r="10" spans="1:11" ht="12.75">
      <c r="A10" s="54"/>
      <c r="B10" s="57">
        <v>12</v>
      </c>
      <c r="C10" s="55">
        <f t="shared" si="0"/>
        <v>0.42328754526134355</v>
      </c>
      <c r="D10" s="55">
        <f t="shared" si="1"/>
        <v>0.02645547157883397</v>
      </c>
      <c r="E10" t="s">
        <v>462</v>
      </c>
      <c r="I10" s="9"/>
      <c r="J10" s="2"/>
      <c r="K10" s="3"/>
    </row>
    <row r="11" spans="1:9" ht="12.75">
      <c r="A11" s="54"/>
      <c r="B11" s="57">
        <v>35</v>
      </c>
      <c r="C11" s="55">
        <f t="shared" si="0"/>
        <v>1.2345886736789187</v>
      </c>
      <c r="D11" s="55">
        <f t="shared" si="1"/>
        <v>0.07716179210493242</v>
      </c>
      <c r="E11" t="s">
        <v>1412</v>
      </c>
      <c r="G11" s="9"/>
      <c r="H11" s="3"/>
      <c r="I11" s="3"/>
    </row>
    <row r="12" spans="1:5" ht="12.75">
      <c r="A12" s="54"/>
      <c r="B12" s="57">
        <v>175</v>
      </c>
      <c r="C12" s="55">
        <f>B12/28.349523</f>
        <v>6.172943368394593</v>
      </c>
      <c r="D12" s="55">
        <f>C12/16</f>
        <v>0.38580896052466207</v>
      </c>
      <c r="E12" t="s">
        <v>374</v>
      </c>
    </row>
    <row r="13" spans="1:5" ht="12.75">
      <c r="A13" s="54"/>
      <c r="B13" s="57">
        <v>6</v>
      </c>
      <c r="C13" s="55">
        <f t="shared" si="0"/>
        <v>0.21164377263067177</v>
      </c>
      <c r="D13" s="55">
        <f t="shared" si="1"/>
        <v>0.013227735789416986</v>
      </c>
      <c r="E13" s="12" t="s">
        <v>1518</v>
      </c>
    </row>
    <row r="14" spans="1:5" ht="12.75">
      <c r="A14" s="54"/>
      <c r="B14" s="57">
        <v>12</v>
      </c>
      <c r="C14" s="55">
        <f>B14/28.349523</f>
        <v>0.42328754526134355</v>
      </c>
      <c r="D14" s="55"/>
      <c r="E14" t="s">
        <v>754</v>
      </c>
    </row>
    <row r="15" spans="1:29" ht="12.75">
      <c r="A15" s="54"/>
      <c r="B15" s="61">
        <v>53</v>
      </c>
      <c r="C15" s="55">
        <f t="shared" si="0"/>
        <v>1.869519991570934</v>
      </c>
      <c r="D15" s="55">
        <f t="shared" si="1"/>
        <v>0.11684499947318337</v>
      </c>
      <c r="E15" s="11" t="s">
        <v>1069</v>
      </c>
      <c r="AC15" s="9"/>
    </row>
    <row r="16" spans="1:29" ht="12.75">
      <c r="A16" s="54"/>
      <c r="B16" s="57">
        <f>SUM(B4:B15)</f>
        <v>877</v>
      </c>
      <c r="C16" s="55">
        <f t="shared" si="0"/>
        <v>30.935264766183188</v>
      </c>
      <c r="D16" s="55">
        <f t="shared" si="1"/>
        <v>1.9334540478864493</v>
      </c>
      <c r="E16" s="11" t="s">
        <v>1509</v>
      </c>
      <c r="AC16" s="9"/>
    </row>
    <row r="17" spans="1:29" ht="12.75">
      <c r="A17" s="54"/>
      <c r="B17" s="57"/>
      <c r="C17" s="55"/>
      <c r="D17" s="55"/>
      <c r="E17" s="11" t="s">
        <v>449</v>
      </c>
      <c r="AC17" s="9"/>
    </row>
    <row r="18" spans="1:5" ht="12.75">
      <c r="A18" s="54"/>
      <c r="B18" s="54">
        <v>42</v>
      </c>
      <c r="C18" s="55">
        <f aca="true" t="shared" si="2" ref="C18:C50">B18/28.349523</f>
        <v>1.4815064084147023</v>
      </c>
      <c r="D18" s="55">
        <f aca="true" t="shared" si="3" ref="D18:D50">C18/16</f>
        <v>0.09259415052591889</v>
      </c>
      <c r="E18" s="12" t="s">
        <v>443</v>
      </c>
    </row>
    <row r="19" spans="1:5" ht="12.75">
      <c r="A19" s="54"/>
      <c r="B19" s="62">
        <v>158</v>
      </c>
      <c r="C19" s="55">
        <f>B19/28.349523</f>
        <v>5.5732860126076895</v>
      </c>
      <c r="D19" s="55">
        <f>C19/16</f>
        <v>0.3483303757879806</v>
      </c>
      <c r="E19" s="4" t="s">
        <v>452</v>
      </c>
    </row>
    <row r="20" spans="1:5" ht="12.75">
      <c r="A20" s="54"/>
      <c r="B20" s="57">
        <v>28</v>
      </c>
      <c r="C20" s="55">
        <f t="shared" si="2"/>
        <v>0.987670938943135</v>
      </c>
      <c r="D20" s="55">
        <f t="shared" si="3"/>
        <v>0.061729433683945935</v>
      </c>
      <c r="E20" s="12" t="s">
        <v>451</v>
      </c>
    </row>
    <row r="21" spans="1:5" ht="12.75">
      <c r="A21" s="54"/>
      <c r="B21" s="57">
        <v>16</v>
      </c>
      <c r="C21" s="55">
        <f t="shared" si="2"/>
        <v>0.5643833936817914</v>
      </c>
      <c r="D21" s="55">
        <f t="shared" si="3"/>
        <v>0.03527396210511196</v>
      </c>
      <c r="E21" s="12" t="s">
        <v>1687</v>
      </c>
    </row>
    <row r="22" spans="1:6" ht="12.75">
      <c r="A22" s="54"/>
      <c r="B22" s="61">
        <v>32</v>
      </c>
      <c r="C22" s="55">
        <f t="shared" si="2"/>
        <v>1.1287667873635827</v>
      </c>
      <c r="D22" s="55">
        <f t="shared" si="3"/>
        <v>0.07054792421022392</v>
      </c>
      <c r="E22" s="4" t="s">
        <v>64</v>
      </c>
      <c r="F22" s="3"/>
    </row>
    <row r="23" spans="1:5" ht="12.75">
      <c r="A23" s="54"/>
      <c r="B23" s="57">
        <v>19</v>
      </c>
      <c r="C23" s="55">
        <f t="shared" si="2"/>
        <v>0.6702052799971272</v>
      </c>
      <c r="D23" s="55">
        <f t="shared" si="3"/>
        <v>0.04188782999982045</v>
      </c>
      <c r="E23" s="12" t="s">
        <v>1471</v>
      </c>
    </row>
    <row r="24" spans="1:5" ht="12.75">
      <c r="A24" s="54"/>
      <c r="B24" s="57">
        <v>814</v>
      </c>
      <c r="C24" s="55">
        <f t="shared" si="2"/>
        <v>28.713005153561138</v>
      </c>
      <c r="D24" s="55">
        <f t="shared" si="3"/>
        <v>1.7945628220975711</v>
      </c>
      <c r="E24" t="s">
        <v>1704</v>
      </c>
    </row>
    <row r="25" spans="1:5" ht="12.75">
      <c r="A25" s="54"/>
      <c r="B25" s="57">
        <v>97</v>
      </c>
      <c r="C25" s="55">
        <f t="shared" si="2"/>
        <v>3.42157432419586</v>
      </c>
      <c r="D25" s="55">
        <f t="shared" si="3"/>
        <v>0.21384839526224125</v>
      </c>
      <c r="E25" s="4" t="s">
        <v>450</v>
      </c>
    </row>
    <row r="26" spans="1:5" ht="12.75">
      <c r="A26" s="54"/>
      <c r="B26" s="57">
        <v>500</v>
      </c>
      <c r="C26" s="55">
        <f t="shared" si="2"/>
        <v>17.63698105255598</v>
      </c>
      <c r="D26" s="55">
        <f t="shared" si="3"/>
        <v>1.1023113157847488</v>
      </c>
      <c r="E26" s="4" t="s">
        <v>522</v>
      </c>
    </row>
    <row r="27" spans="1:5" ht="12.75">
      <c r="A27" s="54"/>
      <c r="B27" s="57">
        <v>537</v>
      </c>
      <c r="C27" s="55">
        <f t="shared" si="2"/>
        <v>18.942117650445123</v>
      </c>
      <c r="D27" s="55">
        <f t="shared" si="3"/>
        <v>1.1838823531528202</v>
      </c>
      <c r="E27" s="4" t="s">
        <v>521</v>
      </c>
    </row>
    <row r="28" spans="1:5" ht="12.75">
      <c r="A28" s="54"/>
      <c r="B28" s="57">
        <v>124</v>
      </c>
      <c r="C28" s="55">
        <f t="shared" si="2"/>
        <v>4.373971301033883</v>
      </c>
      <c r="D28" s="55">
        <f t="shared" si="3"/>
        <v>0.2733732063146177</v>
      </c>
      <c r="E28" s="4" t="s">
        <v>523</v>
      </c>
    </row>
    <row r="29" spans="1:5" ht="12.75">
      <c r="A29" s="54"/>
      <c r="B29" s="57">
        <v>59</v>
      </c>
      <c r="C29" s="55">
        <f t="shared" si="2"/>
        <v>2.0811637642016056</v>
      </c>
      <c r="D29" s="55">
        <f t="shared" si="3"/>
        <v>0.13007273526260035</v>
      </c>
      <c r="E29" s="4" t="s">
        <v>524</v>
      </c>
    </row>
    <row r="30" spans="1:15" ht="12.75">
      <c r="A30" s="54"/>
      <c r="B30" s="57">
        <v>100</v>
      </c>
      <c r="C30" s="55">
        <f t="shared" si="2"/>
        <v>3.527396210511196</v>
      </c>
      <c r="D30" s="55">
        <f t="shared" si="3"/>
        <v>0.22046226315694975</v>
      </c>
      <c r="E30" s="13" t="s">
        <v>525</v>
      </c>
      <c r="I30" s="47"/>
      <c r="O30" s="2"/>
    </row>
    <row r="31" spans="1:5" ht="12.75">
      <c r="A31" s="54"/>
      <c r="B31" s="57">
        <v>245</v>
      </c>
      <c r="C31" s="55">
        <f t="shared" si="2"/>
        <v>8.64212071575243</v>
      </c>
      <c r="D31" s="55">
        <f t="shared" si="3"/>
        <v>0.5401325447345269</v>
      </c>
      <c r="E31" s="4" t="s">
        <v>1799</v>
      </c>
    </row>
    <row r="32" spans="1:5" ht="12.75">
      <c r="A32" s="54"/>
      <c r="B32" s="57">
        <v>33</v>
      </c>
      <c r="C32" s="55">
        <f t="shared" si="2"/>
        <v>1.1640407494686946</v>
      </c>
      <c r="D32" s="55">
        <f t="shared" si="3"/>
        <v>0.07275254684179341</v>
      </c>
      <c r="E32" s="12" t="s">
        <v>1528</v>
      </c>
    </row>
    <row r="33" spans="1:5" ht="12.75">
      <c r="A33" s="54"/>
      <c r="B33" s="61">
        <v>44</v>
      </c>
      <c r="C33" s="55">
        <f t="shared" si="2"/>
        <v>1.5520543326249263</v>
      </c>
      <c r="D33" s="55">
        <f t="shared" si="3"/>
        <v>0.0970033957890579</v>
      </c>
      <c r="E33" s="11" t="s">
        <v>726</v>
      </c>
    </row>
    <row r="34" spans="1:5" ht="12.75">
      <c r="A34" s="54"/>
      <c r="B34" s="57">
        <v>236</v>
      </c>
      <c r="C34" s="55">
        <f t="shared" si="2"/>
        <v>8.324655056806423</v>
      </c>
      <c r="D34" s="55">
        <f t="shared" si="3"/>
        <v>0.5202909410504014</v>
      </c>
      <c r="E34" t="s">
        <v>2071</v>
      </c>
    </row>
    <row r="35" spans="1:6" ht="12.75">
      <c r="A35" s="54"/>
      <c r="B35" s="57">
        <v>163</v>
      </c>
      <c r="C35" s="55">
        <f t="shared" si="2"/>
        <v>5.749655823133249</v>
      </c>
      <c r="D35" s="55">
        <f t="shared" si="3"/>
        <v>0.3593534889458281</v>
      </c>
      <c r="E35" s="4" t="s">
        <v>1711</v>
      </c>
      <c r="F35" s="3"/>
    </row>
    <row r="36" spans="1:5" ht="12.75">
      <c r="A36" s="54"/>
      <c r="B36" s="57">
        <v>35</v>
      </c>
      <c r="C36" s="55">
        <f>B36/28.349523</f>
        <v>1.2345886736789187</v>
      </c>
      <c r="D36" s="55">
        <f>C36/16</f>
        <v>0.07716179210493242</v>
      </c>
      <c r="E36" t="s">
        <v>454</v>
      </c>
    </row>
    <row r="37" spans="1:5" ht="12.75">
      <c r="A37" s="54"/>
      <c r="B37" s="57">
        <v>24</v>
      </c>
      <c r="C37" s="55">
        <f t="shared" si="2"/>
        <v>0.8465750905226871</v>
      </c>
      <c r="D37" s="55">
        <f t="shared" si="3"/>
        <v>0.05291094315766794</v>
      </c>
      <c r="E37" s="12" t="s">
        <v>320</v>
      </c>
    </row>
    <row r="38" spans="1:5" ht="12.75">
      <c r="A38" s="54"/>
      <c r="B38" s="57">
        <v>53</v>
      </c>
      <c r="C38" s="55">
        <f t="shared" si="2"/>
        <v>1.869519991570934</v>
      </c>
      <c r="D38" s="55">
        <f t="shared" si="3"/>
        <v>0.11684499947318337</v>
      </c>
      <c r="E38" s="12" t="s">
        <v>1033</v>
      </c>
    </row>
    <row r="39" spans="1:5" ht="12.75">
      <c r="A39" s="54"/>
      <c r="B39" s="57">
        <v>11</v>
      </c>
      <c r="C39" s="55">
        <f t="shared" si="2"/>
        <v>0.3880135831562316</v>
      </c>
      <c r="D39" s="55">
        <f t="shared" si="3"/>
        <v>0.024250848947264474</v>
      </c>
      <c r="E39" s="12" t="s">
        <v>1730</v>
      </c>
    </row>
    <row r="40" spans="1:6" ht="12.75">
      <c r="A40" s="54"/>
      <c r="B40" s="57">
        <v>145</v>
      </c>
      <c r="C40" s="55">
        <f t="shared" si="2"/>
        <v>5.1147245052412345</v>
      </c>
      <c r="D40" s="55">
        <f t="shared" si="3"/>
        <v>0.31967028157757715</v>
      </c>
      <c r="E40" t="s">
        <v>1783</v>
      </c>
      <c r="F40" s="3"/>
    </row>
    <row r="41" spans="1:5" ht="12.75">
      <c r="A41" s="54"/>
      <c r="B41" s="57">
        <v>15</v>
      </c>
      <c r="C41" s="55">
        <f t="shared" si="2"/>
        <v>0.5291094315766794</v>
      </c>
      <c r="D41" s="55">
        <f t="shared" si="3"/>
        <v>0.033069339473542465</v>
      </c>
      <c r="E41" s="12" t="s">
        <v>453</v>
      </c>
    </row>
    <row r="42" spans="1:5" ht="12.75">
      <c r="A42" s="54"/>
      <c r="B42" s="57">
        <v>38</v>
      </c>
      <c r="C42" s="55">
        <f t="shared" si="2"/>
        <v>1.3404105599942544</v>
      </c>
      <c r="D42" s="55">
        <f t="shared" si="3"/>
        <v>0.0837756599996409</v>
      </c>
      <c r="E42" s="12" t="s">
        <v>92</v>
      </c>
    </row>
    <row r="43" spans="1:5" ht="12.75">
      <c r="A43" s="54"/>
      <c r="B43" s="57">
        <v>24</v>
      </c>
      <c r="C43" s="55">
        <f t="shared" si="2"/>
        <v>0.8465750905226871</v>
      </c>
      <c r="D43" s="55">
        <f t="shared" si="3"/>
        <v>0.05291094315766794</v>
      </c>
      <c r="E43" s="12" t="s">
        <v>91</v>
      </c>
    </row>
    <row r="44" spans="1:5" ht="12.75">
      <c r="A44" s="54"/>
      <c r="B44" s="57">
        <v>651</v>
      </c>
      <c r="C44" s="55">
        <f t="shared" si="2"/>
        <v>22.963349330427885</v>
      </c>
      <c r="D44" s="55">
        <f t="shared" si="3"/>
        <v>1.4352093331517428</v>
      </c>
      <c r="E44" s="12" t="s">
        <v>1039</v>
      </c>
    </row>
    <row r="45" spans="1:16" ht="15">
      <c r="A45" s="54"/>
      <c r="B45" s="54">
        <v>21</v>
      </c>
      <c r="C45" s="55">
        <f t="shared" si="2"/>
        <v>0.7407532042073511</v>
      </c>
      <c r="D45" s="55">
        <f t="shared" si="3"/>
        <v>0.046297075262959446</v>
      </c>
      <c r="E45" s="4" t="s">
        <v>86</v>
      </c>
      <c r="P45" s="31"/>
    </row>
    <row r="46" spans="1:5" ht="12.75">
      <c r="A46" s="54"/>
      <c r="B46" s="57">
        <f>90+21+29</f>
        <v>140</v>
      </c>
      <c r="C46" s="55">
        <f t="shared" si="2"/>
        <v>4.938354694715675</v>
      </c>
      <c r="D46" s="55">
        <f t="shared" si="3"/>
        <v>0.30864716841972967</v>
      </c>
      <c r="E46" s="12" t="s">
        <v>1707</v>
      </c>
    </row>
    <row r="47" spans="1:5" ht="12.75">
      <c r="A47" s="54"/>
      <c r="B47" s="61">
        <v>32</v>
      </c>
      <c r="C47" s="55">
        <f t="shared" si="2"/>
        <v>1.1287667873635827</v>
      </c>
      <c r="D47" s="55">
        <f t="shared" si="3"/>
        <v>0.07054792421022392</v>
      </c>
      <c r="E47" s="13" t="s">
        <v>1709</v>
      </c>
    </row>
    <row r="48" spans="1:5" ht="12.75">
      <c r="A48" s="54"/>
      <c r="B48" s="61">
        <v>57</v>
      </c>
      <c r="C48" s="55">
        <f t="shared" si="2"/>
        <v>2.010615839991382</v>
      </c>
      <c r="D48" s="55">
        <f t="shared" si="3"/>
        <v>0.12566348999946136</v>
      </c>
      <c r="E48" s="11" t="s">
        <v>1068</v>
      </c>
    </row>
    <row r="49" spans="1:5" ht="12.75">
      <c r="A49" s="54"/>
      <c r="B49" s="57">
        <v>10</v>
      </c>
      <c r="C49" s="55">
        <f t="shared" si="2"/>
        <v>0.3527396210511196</v>
      </c>
      <c r="D49" s="55">
        <f t="shared" si="3"/>
        <v>0.022046226315694976</v>
      </c>
      <c r="E49" s="11" t="s">
        <v>1431</v>
      </c>
    </row>
    <row r="50" spans="1:5" ht="12.75">
      <c r="A50" s="54"/>
      <c r="B50" s="57">
        <v>15</v>
      </c>
      <c r="C50" s="55">
        <f t="shared" si="2"/>
        <v>0.5291094315766794</v>
      </c>
      <c r="D50" s="55">
        <f t="shared" si="3"/>
        <v>0.033069339473542465</v>
      </c>
      <c r="E50" s="11" t="s">
        <v>1063</v>
      </c>
    </row>
    <row r="51" spans="1:31" ht="12.75">
      <c r="A51" s="54"/>
      <c r="B51" s="57">
        <v>129</v>
      </c>
      <c r="C51" s="55">
        <f aca="true" t="shared" si="4" ref="C51:C62">B51/28.349523</f>
        <v>4.550341111559443</v>
      </c>
      <c r="D51" s="55">
        <f aca="true" t="shared" si="5" ref="D51:D62">C51/16</f>
        <v>0.2843963194724652</v>
      </c>
      <c r="E51" s="11" t="s">
        <v>90</v>
      </c>
      <c r="V51" s="9"/>
      <c r="W51" s="9"/>
      <c r="X51" s="9"/>
      <c r="Y51" s="2"/>
      <c r="AB51" s="53"/>
      <c r="AC51" s="53"/>
      <c r="AD51" s="53"/>
      <c r="AE51" s="53"/>
    </row>
    <row r="52" spans="1:31" ht="12.75">
      <c r="A52" s="54"/>
      <c r="B52" s="57">
        <v>17</v>
      </c>
      <c r="C52" s="55">
        <f t="shared" si="4"/>
        <v>0.5996573557869034</v>
      </c>
      <c r="D52" s="55">
        <f t="shared" si="5"/>
        <v>0.03747858473668146</v>
      </c>
      <c r="E52" s="12" t="s">
        <v>1473</v>
      </c>
      <c r="K52" s="33"/>
      <c r="AB52" s="53"/>
      <c r="AC52" s="53"/>
      <c r="AD52" s="53"/>
      <c r="AE52" s="53"/>
    </row>
    <row r="53" spans="1:5" ht="12.75">
      <c r="A53" s="54"/>
      <c r="B53" s="57">
        <v>33</v>
      </c>
      <c r="C53" s="55">
        <f t="shared" si="4"/>
        <v>1.1640407494686946</v>
      </c>
      <c r="D53" s="55">
        <f t="shared" si="5"/>
        <v>0.07275254684179341</v>
      </c>
      <c r="E53" s="11" t="s">
        <v>1479</v>
      </c>
    </row>
    <row r="54" spans="1:5" ht="12.75">
      <c r="A54" s="54"/>
      <c r="B54" s="57">
        <v>66</v>
      </c>
      <c r="C54" s="55">
        <f t="shared" si="4"/>
        <v>2.3280814989373892</v>
      </c>
      <c r="D54" s="55">
        <f t="shared" si="5"/>
        <v>0.14550509368358683</v>
      </c>
      <c r="E54" s="11" t="s">
        <v>944</v>
      </c>
    </row>
    <row r="55" spans="1:5" ht="12.75">
      <c r="A55" s="54"/>
      <c r="B55" s="57">
        <v>87</v>
      </c>
      <c r="C55" s="55">
        <f t="shared" si="4"/>
        <v>3.0688347031447405</v>
      </c>
      <c r="D55" s="55">
        <f t="shared" si="5"/>
        <v>0.19180216894654628</v>
      </c>
      <c r="E55" t="s">
        <v>373</v>
      </c>
    </row>
    <row r="56" spans="1:5" ht="12.75">
      <c r="A56" s="54"/>
      <c r="B56" s="61">
        <v>39</v>
      </c>
      <c r="C56" s="55">
        <f t="shared" si="4"/>
        <v>1.3756845220993665</v>
      </c>
      <c r="D56" s="55">
        <f t="shared" si="5"/>
        <v>0.08598028263121041</v>
      </c>
      <c r="E56" s="4" t="s">
        <v>1825</v>
      </c>
    </row>
    <row r="57" spans="1:5" ht="12.75">
      <c r="A57" s="54"/>
      <c r="B57" s="57">
        <v>10</v>
      </c>
      <c r="C57" s="55">
        <f t="shared" si="4"/>
        <v>0.3527396210511196</v>
      </c>
      <c r="D57" s="55">
        <f t="shared" si="5"/>
        <v>0.022046226315694976</v>
      </c>
      <c r="E57" s="11" t="s">
        <v>455</v>
      </c>
    </row>
    <row r="58" spans="1:5" ht="12.75">
      <c r="A58" s="54"/>
      <c r="B58" s="54">
        <v>38</v>
      </c>
      <c r="C58" s="55">
        <f t="shared" si="4"/>
        <v>1.3404105599942544</v>
      </c>
      <c r="D58" s="55">
        <f t="shared" si="5"/>
        <v>0.0837756599996409</v>
      </c>
      <c r="E58" s="13" t="s">
        <v>1615</v>
      </c>
    </row>
    <row r="59" spans="1:5" ht="12.75">
      <c r="A59" s="54"/>
      <c r="B59" s="54">
        <v>28</v>
      </c>
      <c r="C59" s="55">
        <f t="shared" si="4"/>
        <v>0.987670938943135</v>
      </c>
      <c r="D59" s="55">
        <f t="shared" si="5"/>
        <v>0.061729433683945935</v>
      </c>
      <c r="E59" s="13" t="s">
        <v>1616</v>
      </c>
    </row>
    <row r="60" spans="1:5" ht="12.75">
      <c r="A60" s="54"/>
      <c r="B60" s="54">
        <f>187+37</f>
        <v>224</v>
      </c>
      <c r="C60" s="55">
        <f t="shared" si="4"/>
        <v>7.90136751154508</v>
      </c>
      <c r="D60" s="55">
        <f t="shared" si="5"/>
        <v>0.4938354694715675</v>
      </c>
      <c r="E60" s="13" t="s">
        <v>458</v>
      </c>
    </row>
    <row r="61" spans="1:5" ht="12.75">
      <c r="A61" s="54"/>
      <c r="B61" s="57">
        <v>324</v>
      </c>
      <c r="C61" s="55">
        <f t="shared" si="4"/>
        <v>11.428763722056276</v>
      </c>
      <c r="D61" s="55">
        <f t="shared" si="5"/>
        <v>0.7142977326285173</v>
      </c>
      <c r="E61" s="12" t="s">
        <v>1170</v>
      </c>
    </row>
    <row r="62" spans="1:5" ht="12.75">
      <c r="A62" s="54"/>
      <c r="B62" s="57">
        <v>85</v>
      </c>
      <c r="C62" s="55">
        <f t="shared" si="4"/>
        <v>2.9982867789345167</v>
      </c>
      <c r="D62" s="55">
        <f t="shared" si="5"/>
        <v>0.1873929236834073</v>
      </c>
      <c r="E62" s="12" t="s">
        <v>457</v>
      </c>
    </row>
    <row r="63" spans="1:4" ht="12.75">
      <c r="A63" s="54"/>
      <c r="B63" s="57"/>
      <c r="C63" s="56" t="s">
        <v>456</v>
      </c>
      <c r="D63" s="55"/>
    </row>
    <row r="64" spans="1:6" ht="12.75">
      <c r="A64" s="54"/>
      <c r="B64" s="57">
        <v>26</v>
      </c>
      <c r="C64" s="55">
        <f>B64/28.349523</f>
        <v>0.917123014732911</v>
      </c>
      <c r="D64" s="55">
        <f>C64/16</f>
        <v>0.05732018842080694</v>
      </c>
      <c r="E64" s="11" t="s">
        <v>1784</v>
      </c>
      <c r="F64" s="3"/>
    </row>
    <row r="65" spans="1:31" ht="12.75">
      <c r="A65" s="54"/>
      <c r="B65" s="57">
        <v>46</v>
      </c>
      <c r="C65" s="55">
        <f>B65/28.349523</f>
        <v>1.6226022568351501</v>
      </c>
      <c r="D65" s="55">
        <f>C65/16</f>
        <v>0.10141264105219688</v>
      </c>
      <c r="E65" s="63" t="s">
        <v>465</v>
      </c>
      <c r="F65" s="64"/>
      <c r="G65" s="65"/>
      <c r="H65" s="65"/>
      <c r="I65" s="65"/>
      <c r="J65" s="65"/>
      <c r="K65" s="65"/>
      <c r="L65" s="65"/>
      <c r="M65" s="65"/>
      <c r="N65" s="65"/>
      <c r="O65" s="65"/>
      <c r="P65" s="65"/>
      <c r="Q65" s="65"/>
      <c r="R65" s="65"/>
      <c r="S65" s="65"/>
      <c r="T65" s="65"/>
      <c r="U65" s="65"/>
      <c r="V65" s="65"/>
      <c r="W65" s="65"/>
      <c r="X65" s="65"/>
      <c r="Y65" s="65"/>
      <c r="Z65" s="65"/>
      <c r="AA65" s="65"/>
      <c r="AB65" s="65"/>
      <c r="AC65" s="65"/>
      <c r="AD65" s="65"/>
      <c r="AE65" s="66"/>
    </row>
    <row r="66" spans="1:31" ht="12.75">
      <c r="A66" s="54"/>
      <c r="B66" s="57"/>
      <c r="C66" s="55"/>
      <c r="D66" s="55"/>
      <c r="E66" s="63"/>
      <c r="F66" s="64"/>
      <c r="G66" s="65"/>
      <c r="H66" s="65"/>
      <c r="I66" s="65"/>
      <c r="J66" s="65"/>
      <c r="K66" s="65"/>
      <c r="L66" s="65"/>
      <c r="M66" s="65"/>
      <c r="N66" s="65"/>
      <c r="O66" s="65"/>
      <c r="P66" s="65"/>
      <c r="Q66" s="65"/>
      <c r="R66" s="65"/>
      <c r="S66" s="65"/>
      <c r="T66" s="65"/>
      <c r="U66" s="65"/>
      <c r="V66" s="65"/>
      <c r="W66" s="65"/>
      <c r="X66" s="65"/>
      <c r="Y66" s="65"/>
      <c r="Z66" s="65"/>
      <c r="AA66" s="65"/>
      <c r="AB66" s="65"/>
      <c r="AC66" s="65"/>
      <c r="AD66" s="65"/>
      <c r="AE66" s="66"/>
    </row>
    <row r="67" spans="1:31" ht="12.75">
      <c r="A67" s="54"/>
      <c r="B67" s="57"/>
      <c r="C67" s="55"/>
      <c r="D67" s="55"/>
      <c r="E67" t="s">
        <v>302</v>
      </c>
      <c r="F67" s="64"/>
      <c r="G67" s="65"/>
      <c r="H67" s="65"/>
      <c r="I67" s="65"/>
      <c r="J67" s="65"/>
      <c r="K67" s="65"/>
      <c r="L67" s="65"/>
      <c r="M67" s="65"/>
      <c r="N67" s="65"/>
      <c r="O67" s="65"/>
      <c r="P67" s="65"/>
      <c r="Q67" s="65"/>
      <c r="R67" s="65"/>
      <c r="S67" s="65"/>
      <c r="T67" s="65"/>
      <c r="U67" s="65"/>
      <c r="V67" s="65"/>
      <c r="W67" s="65"/>
      <c r="X67" s="65"/>
      <c r="Y67" s="65"/>
      <c r="Z67" s="65"/>
      <c r="AA67" s="65"/>
      <c r="AB67" s="65"/>
      <c r="AC67" s="65"/>
      <c r="AD67" s="65"/>
      <c r="AE67" s="66"/>
    </row>
    <row r="68" spans="1:6" ht="12.75">
      <c r="A68" s="54"/>
      <c r="B68" s="57"/>
      <c r="C68" s="55"/>
      <c r="D68" s="55"/>
      <c r="E68" s="11"/>
      <c r="F68" s="3"/>
    </row>
    <row r="69" spans="1:31" ht="12.75">
      <c r="A69" s="67"/>
      <c r="B69" s="68"/>
      <c r="C69" s="69"/>
      <c r="D69" s="69"/>
      <c r="E69" s="70"/>
      <c r="F69" s="71"/>
      <c r="G69" s="72"/>
      <c r="H69" s="72"/>
      <c r="I69" s="72"/>
      <c r="J69" s="72"/>
      <c r="K69" s="72"/>
      <c r="L69" s="72"/>
      <c r="M69" s="72"/>
      <c r="N69" s="72"/>
      <c r="O69" s="72"/>
      <c r="P69" s="72"/>
      <c r="Q69" s="72"/>
      <c r="R69" s="72"/>
      <c r="S69" s="72"/>
      <c r="T69" s="72"/>
      <c r="U69" s="72"/>
      <c r="V69" s="72"/>
      <c r="W69" s="72"/>
      <c r="X69" s="72"/>
      <c r="Y69" s="72"/>
      <c r="Z69" s="72"/>
      <c r="AA69" s="72"/>
      <c r="AB69" s="72"/>
      <c r="AC69" s="72"/>
      <c r="AD69" s="72"/>
      <c r="AE69" s="73"/>
    </row>
    <row r="70" spans="1:32" ht="118.5" customHeight="1">
      <c r="A70" s="54"/>
      <c r="B70" s="74" t="s">
        <v>1603</v>
      </c>
      <c r="C70" s="54" t="s">
        <v>1265</v>
      </c>
      <c r="D70" s="54" t="s">
        <v>1604</v>
      </c>
      <c r="E70" s="56" t="s">
        <v>2075</v>
      </c>
      <c r="F70" s="74" t="s">
        <v>1932</v>
      </c>
      <c r="G70" s="75" t="s">
        <v>559</v>
      </c>
      <c r="H70" s="75" t="s">
        <v>585</v>
      </c>
      <c r="I70" s="75" t="s">
        <v>584</v>
      </c>
      <c r="J70" s="75" t="s">
        <v>583</v>
      </c>
      <c r="K70" s="75" t="s">
        <v>582</v>
      </c>
      <c r="L70" s="75" t="s">
        <v>581</v>
      </c>
      <c r="M70" s="75" t="s">
        <v>580</v>
      </c>
      <c r="N70" s="75" t="s">
        <v>579</v>
      </c>
      <c r="O70" s="75" t="s">
        <v>560</v>
      </c>
      <c r="P70" s="75" t="s">
        <v>1798</v>
      </c>
      <c r="Q70" s="75" t="s">
        <v>1797</v>
      </c>
      <c r="R70" s="75" t="s">
        <v>1785</v>
      </c>
      <c r="S70" s="75" t="s">
        <v>1820</v>
      </c>
      <c r="T70" s="75" t="s">
        <v>563</v>
      </c>
      <c r="U70" s="75" t="s">
        <v>572</v>
      </c>
      <c r="V70" s="75" t="s">
        <v>571</v>
      </c>
      <c r="W70" s="75" t="s">
        <v>575</v>
      </c>
      <c r="X70" s="75" t="s">
        <v>576</v>
      </c>
      <c r="Y70" s="75" t="s">
        <v>577</v>
      </c>
      <c r="Z70" s="75" t="s">
        <v>578</v>
      </c>
      <c r="AA70" s="75" t="s">
        <v>553</v>
      </c>
      <c r="AB70" s="75"/>
      <c r="AC70" s="75"/>
      <c r="AD70" s="54"/>
      <c r="AE70" s="54"/>
      <c r="AF70" s="54"/>
    </row>
    <row r="71" spans="1:32" ht="12.75">
      <c r="A71" s="57">
        <f>O71*B71</f>
        <v>2106.785714285714</v>
      </c>
      <c r="B71" s="54">
        <v>347</v>
      </c>
      <c r="C71" s="55">
        <f aca="true" t="shared" si="6" ref="C71:C81">B71/28.349523</f>
        <v>12.24006485047385</v>
      </c>
      <c r="D71" s="55">
        <f aca="true" t="shared" si="7" ref="D71:D81">C71/16</f>
        <v>0.7650040531546156</v>
      </c>
      <c r="E71" s="58" t="s">
        <v>1845</v>
      </c>
      <c r="F71" s="57">
        <v>28</v>
      </c>
      <c r="G71" s="54">
        <v>170</v>
      </c>
      <c r="H71" s="54">
        <v>13</v>
      </c>
      <c r="I71" s="54">
        <v>3</v>
      </c>
      <c r="J71" s="54">
        <v>0</v>
      </c>
      <c r="K71" s="54">
        <v>9</v>
      </c>
      <c r="L71" s="54">
        <v>2</v>
      </c>
      <c r="M71" s="54">
        <v>5</v>
      </c>
      <c r="N71" s="54">
        <v>1</v>
      </c>
      <c r="O71" s="76">
        <f aca="true" t="shared" si="8" ref="O71:O81">G71/F71</f>
        <v>6.071428571428571</v>
      </c>
      <c r="P71" s="57">
        <f>100*M71/F71</f>
        <v>17.857142857142858</v>
      </c>
      <c r="Q71" s="57">
        <f aca="true" t="shared" si="9" ref="Q71:Q81">100*9*H71/G71</f>
        <v>68.82352941176471</v>
      </c>
      <c r="R71" s="77">
        <f aca="true" t="shared" si="10" ref="R71:R81">100*(I71*9)/G71</f>
        <v>15.882352941176471</v>
      </c>
      <c r="S71" s="57">
        <f>100*K71/F71</f>
        <v>32.142857142857146</v>
      </c>
      <c r="T71" s="57">
        <f aca="true" t="shared" si="11" ref="T71:T81">100*N71/F71</f>
        <v>3.5714285714285716</v>
      </c>
      <c r="U71" s="78">
        <f aca="true" t="shared" si="12" ref="U71:U81">B71/F71</f>
        <v>12.392857142857142</v>
      </c>
      <c r="V71" s="57">
        <f aca="true" t="shared" si="13" ref="V71:V81">U71*M71</f>
        <v>61.96428571428571</v>
      </c>
      <c r="W71" s="57">
        <f aca="true" t="shared" si="14" ref="W71:W81">U71*H71</f>
        <v>161.10714285714286</v>
      </c>
      <c r="X71" s="57">
        <f aca="true" t="shared" si="15" ref="X71:X81">U71*K71</f>
        <v>111.53571428571428</v>
      </c>
      <c r="Y71" s="57">
        <f>U71*N71</f>
        <v>12.392857142857142</v>
      </c>
      <c r="Z71" s="54">
        <f aca="true" t="shared" si="16" ref="Z71:Z81">U71*J71</f>
        <v>0</v>
      </c>
      <c r="AA71" s="76">
        <f>U71*I71</f>
        <v>37.17857142857143</v>
      </c>
      <c r="AB71" s="57" t="s">
        <v>528</v>
      </c>
      <c r="AC71" s="57"/>
      <c r="AD71" s="54"/>
      <c r="AE71" s="54"/>
      <c r="AF71" s="54"/>
    </row>
    <row r="72" spans="1:32" ht="12.75">
      <c r="A72" s="57">
        <f>O72*B72</f>
        <v>751.4285714285714</v>
      </c>
      <c r="B72" s="54">
        <v>263</v>
      </c>
      <c r="C72" s="55">
        <f t="shared" si="6"/>
        <v>9.277052033644445</v>
      </c>
      <c r="D72" s="55">
        <f t="shared" si="7"/>
        <v>0.5798157521027778</v>
      </c>
      <c r="E72" s="58" t="s">
        <v>1936</v>
      </c>
      <c r="F72" s="57">
        <v>28</v>
      </c>
      <c r="G72" s="54">
        <v>80</v>
      </c>
      <c r="H72" s="54">
        <v>1</v>
      </c>
      <c r="I72" s="62">
        <v>0.5</v>
      </c>
      <c r="J72" s="54">
        <v>25</v>
      </c>
      <c r="K72" s="54">
        <v>4</v>
      </c>
      <c r="L72" s="54">
        <v>3</v>
      </c>
      <c r="M72" s="54">
        <v>15</v>
      </c>
      <c r="N72" s="54">
        <v>0</v>
      </c>
      <c r="O72" s="55">
        <f t="shared" si="8"/>
        <v>2.857142857142857</v>
      </c>
      <c r="P72" s="77">
        <f aca="true" t="shared" si="17" ref="P72:P81">100*4*M72/G72</f>
        <v>75</v>
      </c>
      <c r="Q72" s="57">
        <f t="shared" si="9"/>
        <v>11.25</v>
      </c>
      <c r="R72" s="61">
        <f t="shared" si="10"/>
        <v>5.625</v>
      </c>
      <c r="S72" s="61">
        <f aca="true" t="shared" si="18" ref="S72:S81">100*K72*4/G72</f>
        <v>20</v>
      </c>
      <c r="T72" s="57">
        <f t="shared" si="11"/>
        <v>0</v>
      </c>
      <c r="U72" s="78">
        <f t="shared" si="12"/>
        <v>9.392857142857142</v>
      </c>
      <c r="V72" s="57">
        <f t="shared" si="13"/>
        <v>140.89285714285714</v>
      </c>
      <c r="W72" s="57">
        <f t="shared" si="14"/>
        <v>9.392857142857142</v>
      </c>
      <c r="X72" s="57">
        <f t="shared" si="15"/>
        <v>37.57142857142857</v>
      </c>
      <c r="Y72" s="57">
        <f>U72*N72</f>
        <v>0</v>
      </c>
      <c r="Z72" s="54">
        <f t="shared" si="16"/>
        <v>234.82142857142856</v>
      </c>
      <c r="AA72" s="55">
        <f>U72*I72</f>
        <v>4.696428571428571</v>
      </c>
      <c r="AB72" s="57" t="s">
        <v>1345</v>
      </c>
      <c r="AC72" s="57"/>
      <c r="AD72" s="54"/>
      <c r="AE72" s="54"/>
      <c r="AF72" s="54"/>
    </row>
    <row r="73" spans="1:32" ht="12.75">
      <c r="A73" s="57">
        <f>O73*B73</f>
        <v>878.4</v>
      </c>
      <c r="B73" s="56">
        <v>244</v>
      </c>
      <c r="C73" s="55">
        <f t="shared" si="6"/>
        <v>8.606846753647318</v>
      </c>
      <c r="D73" s="55">
        <f t="shared" si="7"/>
        <v>0.5379279221029574</v>
      </c>
      <c r="E73" s="58" t="s">
        <v>316</v>
      </c>
      <c r="F73" s="57">
        <v>25</v>
      </c>
      <c r="G73" s="54">
        <v>90</v>
      </c>
      <c r="H73" s="54">
        <v>2</v>
      </c>
      <c r="I73" s="62">
        <v>1</v>
      </c>
      <c r="J73" s="54">
        <v>5</v>
      </c>
      <c r="K73" s="54">
        <v>19</v>
      </c>
      <c r="L73" s="54">
        <v>12</v>
      </c>
      <c r="M73" s="54">
        <v>1</v>
      </c>
      <c r="N73" s="54">
        <v>0</v>
      </c>
      <c r="O73" s="55">
        <f t="shared" si="8"/>
        <v>3.6</v>
      </c>
      <c r="P73" s="79">
        <f t="shared" si="17"/>
        <v>4.444444444444445</v>
      </c>
      <c r="Q73" s="57">
        <f t="shared" si="9"/>
        <v>20</v>
      </c>
      <c r="R73" s="80">
        <f t="shared" si="10"/>
        <v>10</v>
      </c>
      <c r="S73" s="77">
        <f t="shared" si="18"/>
        <v>84.44444444444444</v>
      </c>
      <c r="T73" s="57">
        <f t="shared" si="11"/>
        <v>0</v>
      </c>
      <c r="U73" s="78">
        <f t="shared" si="12"/>
        <v>9.76</v>
      </c>
      <c r="V73" s="57">
        <f t="shared" si="13"/>
        <v>9.76</v>
      </c>
      <c r="W73" s="57">
        <f t="shared" si="14"/>
        <v>19.52</v>
      </c>
      <c r="X73" s="57">
        <f t="shared" si="15"/>
        <v>185.44</v>
      </c>
      <c r="Y73" s="57">
        <f>U73*N73</f>
        <v>0</v>
      </c>
      <c r="Z73" s="54">
        <f t="shared" si="16"/>
        <v>48.8</v>
      </c>
      <c r="AA73" s="55">
        <f>U73*I73</f>
        <v>9.76</v>
      </c>
      <c r="AB73" s="57" t="s">
        <v>317</v>
      </c>
      <c r="AC73" s="57"/>
      <c r="AD73" s="54"/>
      <c r="AE73" s="54"/>
      <c r="AF73" s="54"/>
    </row>
    <row r="74" spans="1:32" ht="12.75">
      <c r="A74" s="57">
        <f>O74*B74</f>
        <v>766.5</v>
      </c>
      <c r="B74" s="56">
        <v>219</v>
      </c>
      <c r="C74" s="55">
        <f t="shared" si="6"/>
        <v>7.724997701019519</v>
      </c>
      <c r="D74" s="55">
        <f t="shared" si="7"/>
        <v>0.48281235631371994</v>
      </c>
      <c r="E74" s="58" t="s">
        <v>1573</v>
      </c>
      <c r="F74" s="57">
        <v>40</v>
      </c>
      <c r="G74" s="54">
        <v>140</v>
      </c>
      <c r="H74" s="54">
        <v>0</v>
      </c>
      <c r="I74" s="62">
        <v>0</v>
      </c>
      <c r="J74" s="62">
        <v>0</v>
      </c>
      <c r="K74" s="62">
        <v>35</v>
      </c>
      <c r="L74" s="62">
        <v>30</v>
      </c>
      <c r="M74" s="62">
        <v>0</v>
      </c>
      <c r="N74" s="62">
        <v>2</v>
      </c>
      <c r="O74" s="81">
        <f t="shared" si="8"/>
        <v>3.5</v>
      </c>
      <c r="P74" s="79">
        <f t="shared" si="17"/>
        <v>0</v>
      </c>
      <c r="Q74" s="79">
        <f t="shared" si="9"/>
        <v>0</v>
      </c>
      <c r="R74" s="79">
        <f t="shared" si="10"/>
        <v>0</v>
      </c>
      <c r="S74" s="82">
        <f t="shared" si="18"/>
        <v>100</v>
      </c>
      <c r="T74" s="83">
        <f t="shared" si="11"/>
        <v>5</v>
      </c>
      <c r="U74" s="78">
        <f t="shared" si="12"/>
        <v>5.475</v>
      </c>
      <c r="V74" s="83">
        <f t="shared" si="13"/>
        <v>0</v>
      </c>
      <c r="W74" s="83">
        <f t="shared" si="14"/>
        <v>0</v>
      </c>
      <c r="X74" s="83">
        <f t="shared" si="15"/>
        <v>191.625</v>
      </c>
      <c r="Y74" s="83">
        <f aca="true" t="shared" si="19" ref="Y74:Y81">N74*U74</f>
        <v>10.95</v>
      </c>
      <c r="Z74" s="84">
        <f t="shared" si="16"/>
        <v>0</v>
      </c>
      <c r="AA74" s="81">
        <f aca="true" t="shared" si="20" ref="AA74:AA81">I74*U74</f>
        <v>0</v>
      </c>
      <c r="AB74" s="57" t="s">
        <v>1844</v>
      </c>
      <c r="AC74" s="54"/>
      <c r="AD74" s="54"/>
      <c r="AE74" s="54"/>
      <c r="AF74" s="54"/>
    </row>
    <row r="75" spans="1:32" ht="12.75">
      <c r="A75" s="57">
        <f>O75*B75</f>
        <v>613.4602105236864</v>
      </c>
      <c r="B75" s="56">
        <v>120</v>
      </c>
      <c r="C75" s="55">
        <f t="shared" si="6"/>
        <v>4.232875452613436</v>
      </c>
      <c r="D75" s="55">
        <f t="shared" si="7"/>
        <v>0.2645547157883397</v>
      </c>
      <c r="E75" s="58" t="s">
        <v>1937</v>
      </c>
      <c r="F75" s="57">
        <f>1.38*28.349523</f>
        <v>39.122341739999996</v>
      </c>
      <c r="G75" s="54">
        <v>200</v>
      </c>
      <c r="H75" s="54">
        <v>10</v>
      </c>
      <c r="I75" s="62">
        <v>2</v>
      </c>
      <c r="J75" s="54">
        <v>0</v>
      </c>
      <c r="K75" s="54">
        <v>23</v>
      </c>
      <c r="L75" s="54">
        <v>5</v>
      </c>
      <c r="M75" s="54">
        <v>4</v>
      </c>
      <c r="N75" s="54">
        <v>1</v>
      </c>
      <c r="O75" s="55">
        <f t="shared" si="8"/>
        <v>5.11216842103072</v>
      </c>
      <c r="P75" s="79">
        <f t="shared" si="17"/>
        <v>8</v>
      </c>
      <c r="Q75" s="57">
        <f t="shared" si="9"/>
        <v>45</v>
      </c>
      <c r="R75" s="61">
        <f t="shared" si="10"/>
        <v>9</v>
      </c>
      <c r="S75" s="61">
        <f t="shared" si="18"/>
        <v>46</v>
      </c>
      <c r="T75" s="57">
        <f t="shared" si="11"/>
        <v>2.55608421051536</v>
      </c>
      <c r="U75" s="78">
        <f t="shared" si="12"/>
        <v>3.067301052618432</v>
      </c>
      <c r="V75" s="83">
        <f t="shared" si="13"/>
        <v>12.269204210473728</v>
      </c>
      <c r="W75" s="83">
        <f t="shared" si="14"/>
        <v>30.67301052618432</v>
      </c>
      <c r="X75" s="83">
        <f t="shared" si="15"/>
        <v>70.54792421022394</v>
      </c>
      <c r="Y75" s="83">
        <f t="shared" si="19"/>
        <v>3.067301052618432</v>
      </c>
      <c r="Z75" s="84">
        <f t="shared" si="16"/>
        <v>0</v>
      </c>
      <c r="AA75" s="81">
        <f t="shared" si="20"/>
        <v>6.134602105236864</v>
      </c>
      <c r="AB75" s="57" t="s">
        <v>1590</v>
      </c>
      <c r="AC75" s="57"/>
      <c r="AD75" s="54"/>
      <c r="AE75" s="54"/>
      <c r="AF75" s="54"/>
    </row>
    <row r="76" spans="1:32" ht="12.75">
      <c r="A76" s="57">
        <f aca="true" t="shared" si="21" ref="A76:A81">G76*U76</f>
        <v>498.33333333333337</v>
      </c>
      <c r="B76" s="54">
        <v>115</v>
      </c>
      <c r="C76" s="55">
        <f t="shared" si="6"/>
        <v>4.056505642087876</v>
      </c>
      <c r="D76" s="55">
        <f t="shared" si="7"/>
        <v>0.25353160263049224</v>
      </c>
      <c r="E76" s="58" t="s">
        <v>444</v>
      </c>
      <c r="F76" s="57">
        <v>30</v>
      </c>
      <c r="G76" s="54">
        <v>130</v>
      </c>
      <c r="H76" s="54">
        <v>7</v>
      </c>
      <c r="I76" s="62">
        <v>1</v>
      </c>
      <c r="J76" s="54">
        <v>0</v>
      </c>
      <c r="K76" s="54">
        <v>9</v>
      </c>
      <c r="L76" s="54">
        <v>1</v>
      </c>
      <c r="M76" s="54">
        <v>11</v>
      </c>
      <c r="N76" s="54">
        <v>5</v>
      </c>
      <c r="O76" s="55">
        <f t="shared" si="8"/>
        <v>4.333333333333333</v>
      </c>
      <c r="P76" s="77">
        <f t="shared" si="17"/>
        <v>33.84615384615385</v>
      </c>
      <c r="Q76" s="57">
        <f t="shared" si="9"/>
        <v>48.46153846153846</v>
      </c>
      <c r="R76" s="61">
        <f t="shared" si="10"/>
        <v>6.923076923076923</v>
      </c>
      <c r="S76" s="61">
        <f t="shared" si="18"/>
        <v>27.692307692307693</v>
      </c>
      <c r="T76" s="77">
        <f t="shared" si="11"/>
        <v>16.666666666666668</v>
      </c>
      <c r="U76" s="85">
        <f t="shared" si="12"/>
        <v>3.8333333333333335</v>
      </c>
      <c r="V76" s="57">
        <f t="shared" si="13"/>
        <v>42.16666666666667</v>
      </c>
      <c r="W76" s="57">
        <f t="shared" si="14"/>
        <v>26.833333333333336</v>
      </c>
      <c r="X76" s="57">
        <f t="shared" si="15"/>
        <v>34.5</v>
      </c>
      <c r="Y76" s="57">
        <f t="shared" si="19"/>
        <v>19.166666666666668</v>
      </c>
      <c r="Z76" s="54">
        <f t="shared" si="16"/>
        <v>0</v>
      </c>
      <c r="AA76" s="55">
        <f t="shared" si="20"/>
        <v>3.8333333333333335</v>
      </c>
      <c r="AB76" s="57"/>
      <c r="AC76" s="57"/>
      <c r="AD76" s="54"/>
      <c r="AE76" s="54"/>
      <c r="AF76" s="54"/>
    </row>
    <row r="77" spans="1:32" ht="12.75">
      <c r="A77" s="57">
        <f t="shared" si="21"/>
        <v>1827.0967741935485</v>
      </c>
      <c r="B77" s="56">
        <v>236</v>
      </c>
      <c r="C77" s="55">
        <f t="shared" si="6"/>
        <v>8.324655056806423</v>
      </c>
      <c r="D77" s="55">
        <f t="shared" si="7"/>
        <v>0.5202909410504014</v>
      </c>
      <c r="E77" s="58" t="s">
        <v>539</v>
      </c>
      <c r="F77" s="57">
        <v>31</v>
      </c>
      <c r="G77" s="54">
        <v>240</v>
      </c>
      <c r="H77" s="54">
        <v>23</v>
      </c>
      <c r="I77" s="62">
        <v>3.5</v>
      </c>
      <c r="J77" s="54">
        <v>0</v>
      </c>
      <c r="K77" s="54">
        <v>4</v>
      </c>
      <c r="L77" s="54">
        <v>1</v>
      </c>
      <c r="M77" s="54">
        <v>2</v>
      </c>
      <c r="N77" s="54">
        <v>2</v>
      </c>
      <c r="O77" s="76">
        <f t="shared" si="8"/>
        <v>7.741935483870968</v>
      </c>
      <c r="P77" s="79">
        <f t="shared" si="17"/>
        <v>3.3333333333333335</v>
      </c>
      <c r="Q77" s="77">
        <f t="shared" si="9"/>
        <v>86.25</v>
      </c>
      <c r="R77" s="61">
        <f t="shared" si="10"/>
        <v>13.125</v>
      </c>
      <c r="S77" s="61">
        <f t="shared" si="18"/>
        <v>6.666666666666667</v>
      </c>
      <c r="T77" s="57">
        <f t="shared" si="11"/>
        <v>6.451612903225806</v>
      </c>
      <c r="U77" s="78">
        <f t="shared" si="12"/>
        <v>7.612903225806452</v>
      </c>
      <c r="V77" s="61">
        <f t="shared" si="13"/>
        <v>15.225806451612904</v>
      </c>
      <c r="W77" s="57">
        <f t="shared" si="14"/>
        <v>175.09677419354838</v>
      </c>
      <c r="X77" s="57">
        <f t="shared" si="15"/>
        <v>30.451612903225808</v>
      </c>
      <c r="Y77" s="61">
        <f t="shared" si="19"/>
        <v>15.225806451612904</v>
      </c>
      <c r="Z77" s="54">
        <f t="shared" si="16"/>
        <v>0</v>
      </c>
      <c r="AA77" s="76">
        <f t="shared" si="20"/>
        <v>26.645161290322584</v>
      </c>
      <c r="AB77" s="54" t="s">
        <v>1594</v>
      </c>
      <c r="AC77" s="54"/>
      <c r="AD77" s="54"/>
      <c r="AE77" s="54"/>
      <c r="AF77" s="54"/>
    </row>
    <row r="78" spans="1:32" ht="12.75">
      <c r="A78" s="57">
        <f t="shared" si="21"/>
        <v>1134</v>
      </c>
      <c r="B78" s="54">
        <v>189</v>
      </c>
      <c r="C78" s="55">
        <f t="shared" si="6"/>
        <v>6.66677883786616</v>
      </c>
      <c r="D78" s="55">
        <f t="shared" si="7"/>
        <v>0.416673677366635</v>
      </c>
      <c r="E78" s="58" t="s">
        <v>564</v>
      </c>
      <c r="F78" s="57">
        <v>30</v>
      </c>
      <c r="G78" s="54">
        <v>180</v>
      </c>
      <c r="H78" s="54">
        <v>14</v>
      </c>
      <c r="I78" s="62">
        <v>1.5</v>
      </c>
      <c r="J78" s="54">
        <v>0</v>
      </c>
      <c r="K78" s="54">
        <v>9</v>
      </c>
      <c r="L78" s="54">
        <v>3</v>
      </c>
      <c r="M78" s="54">
        <v>6</v>
      </c>
      <c r="N78" s="54">
        <v>3</v>
      </c>
      <c r="O78" s="76">
        <f t="shared" si="8"/>
        <v>6</v>
      </c>
      <c r="P78" s="57">
        <f t="shared" si="17"/>
        <v>13.333333333333334</v>
      </c>
      <c r="Q78" s="61">
        <f t="shared" si="9"/>
        <v>70</v>
      </c>
      <c r="R78" s="61">
        <f t="shared" si="10"/>
        <v>7.5</v>
      </c>
      <c r="S78" s="61">
        <f t="shared" si="18"/>
        <v>20</v>
      </c>
      <c r="T78" s="77">
        <f t="shared" si="11"/>
        <v>10</v>
      </c>
      <c r="U78" s="78">
        <f t="shared" si="12"/>
        <v>6.3</v>
      </c>
      <c r="V78" s="61">
        <f t="shared" si="13"/>
        <v>37.8</v>
      </c>
      <c r="W78" s="57">
        <f t="shared" si="14"/>
        <v>88.2</v>
      </c>
      <c r="X78" s="57">
        <f t="shared" si="15"/>
        <v>56.699999999999996</v>
      </c>
      <c r="Y78" s="61">
        <f t="shared" si="19"/>
        <v>18.9</v>
      </c>
      <c r="Z78" s="54">
        <f t="shared" si="16"/>
        <v>0</v>
      </c>
      <c r="AA78" s="55">
        <f t="shared" si="20"/>
        <v>9.45</v>
      </c>
      <c r="AB78" s="57" t="s">
        <v>570</v>
      </c>
      <c r="AC78" s="57"/>
      <c r="AD78" s="54"/>
      <c r="AE78" s="54"/>
      <c r="AF78" s="54"/>
    </row>
    <row r="79" spans="1:32" ht="12.75">
      <c r="A79" s="57">
        <f t="shared" si="21"/>
        <v>1456.6666666666667</v>
      </c>
      <c r="B79" s="54">
        <v>230</v>
      </c>
      <c r="C79" s="55">
        <f t="shared" si="6"/>
        <v>8.113011284175752</v>
      </c>
      <c r="D79" s="55">
        <f t="shared" si="7"/>
        <v>0.5070632052609845</v>
      </c>
      <c r="E79" s="58" t="s">
        <v>1848</v>
      </c>
      <c r="F79" s="57">
        <v>30</v>
      </c>
      <c r="G79" s="54">
        <v>190</v>
      </c>
      <c r="H79" s="54">
        <v>15</v>
      </c>
      <c r="I79" s="62">
        <v>4</v>
      </c>
      <c r="J79" s="54">
        <v>0</v>
      </c>
      <c r="K79" s="54">
        <v>9</v>
      </c>
      <c r="L79" s="54">
        <v>1</v>
      </c>
      <c r="M79" s="54">
        <v>4</v>
      </c>
      <c r="N79" s="54">
        <v>4</v>
      </c>
      <c r="O79" s="76">
        <f t="shared" si="8"/>
        <v>6.333333333333333</v>
      </c>
      <c r="P79" s="79">
        <f t="shared" si="17"/>
        <v>8.421052631578947</v>
      </c>
      <c r="Q79" s="77">
        <f t="shared" si="9"/>
        <v>71.05263157894737</v>
      </c>
      <c r="R79" s="77">
        <f t="shared" si="10"/>
        <v>18.94736842105263</v>
      </c>
      <c r="S79" s="61">
        <f t="shared" si="18"/>
        <v>18.94736842105263</v>
      </c>
      <c r="T79" s="57">
        <f t="shared" si="11"/>
        <v>13.333333333333334</v>
      </c>
      <c r="U79" s="78">
        <f t="shared" si="12"/>
        <v>7.666666666666667</v>
      </c>
      <c r="V79" s="57">
        <f t="shared" si="13"/>
        <v>30.666666666666668</v>
      </c>
      <c r="W79" s="57">
        <f t="shared" si="14"/>
        <v>115</v>
      </c>
      <c r="X79" s="57">
        <f t="shared" si="15"/>
        <v>69</v>
      </c>
      <c r="Y79" s="57">
        <f t="shared" si="19"/>
        <v>30.666666666666668</v>
      </c>
      <c r="Z79" s="54">
        <f t="shared" si="16"/>
        <v>0</v>
      </c>
      <c r="AA79" s="76">
        <f t="shared" si="20"/>
        <v>30.666666666666668</v>
      </c>
      <c r="AB79" s="57" t="s">
        <v>1593</v>
      </c>
      <c r="AC79" s="57"/>
      <c r="AD79" s="54"/>
      <c r="AE79" s="54"/>
      <c r="AF79" s="54"/>
    </row>
    <row r="80" spans="1:32" ht="12.75">
      <c r="A80" s="57">
        <f t="shared" si="21"/>
        <v>720</v>
      </c>
      <c r="B80" s="54">
        <v>180</v>
      </c>
      <c r="C80" s="55">
        <f>B80/28.349523</f>
        <v>6.349313178920153</v>
      </c>
      <c r="D80" s="55">
        <f>C80/16</f>
        <v>0.39683207368250956</v>
      </c>
      <c r="E80" s="58" t="s">
        <v>636</v>
      </c>
      <c r="F80" s="57">
        <v>15</v>
      </c>
      <c r="G80" s="54">
        <v>60</v>
      </c>
      <c r="H80" s="54">
        <v>1</v>
      </c>
      <c r="I80" s="86">
        <v>0</v>
      </c>
      <c r="J80" s="62">
        <v>0</v>
      </c>
      <c r="K80" s="62">
        <v>14</v>
      </c>
      <c r="L80" s="62">
        <v>14</v>
      </c>
      <c r="M80" s="62">
        <v>0</v>
      </c>
      <c r="N80" s="62">
        <v>0</v>
      </c>
      <c r="O80" s="55">
        <f>G80/F80</f>
        <v>4</v>
      </c>
      <c r="P80" s="61">
        <f>100*4*M80/G80</f>
        <v>0</v>
      </c>
      <c r="Q80" s="57">
        <f>100*9*H80/G80</f>
        <v>15</v>
      </c>
      <c r="R80" s="61">
        <f>100*(I80*9)/G80</f>
        <v>0</v>
      </c>
      <c r="S80" s="77">
        <f t="shared" si="18"/>
        <v>93.33333333333333</v>
      </c>
      <c r="T80" s="57">
        <f>100*N80/F80</f>
        <v>0</v>
      </c>
      <c r="U80" s="78">
        <f t="shared" si="12"/>
        <v>12</v>
      </c>
      <c r="V80" s="61">
        <f>U80*M80</f>
        <v>0</v>
      </c>
      <c r="W80" s="57">
        <f>U80*H80</f>
        <v>12</v>
      </c>
      <c r="X80" s="57">
        <f>U80*K80</f>
        <v>168</v>
      </c>
      <c r="Y80" s="57">
        <f>N80*U80</f>
        <v>0</v>
      </c>
      <c r="Z80" s="54">
        <f>U80*J80</f>
        <v>0</v>
      </c>
      <c r="AA80" s="55">
        <f>I80*U80</f>
        <v>0</v>
      </c>
      <c r="AB80" s="57" t="s">
        <v>1823</v>
      </c>
      <c r="AC80" s="57"/>
      <c r="AD80" s="54"/>
      <c r="AE80" s="54"/>
      <c r="AF80" s="54"/>
    </row>
    <row r="81" spans="1:32" ht="12.75">
      <c r="A81" s="57">
        <f t="shared" si="21"/>
        <v>1072.142857142857</v>
      </c>
      <c r="B81" s="54">
        <v>158</v>
      </c>
      <c r="C81" s="55">
        <f t="shared" si="6"/>
        <v>5.5732860126076895</v>
      </c>
      <c r="D81" s="55">
        <f t="shared" si="7"/>
        <v>0.3483303757879806</v>
      </c>
      <c r="E81" s="58" t="s">
        <v>1293</v>
      </c>
      <c r="F81" s="57">
        <v>28</v>
      </c>
      <c r="G81" s="54">
        <v>190</v>
      </c>
      <c r="H81" s="54">
        <v>19</v>
      </c>
      <c r="I81" s="86">
        <v>1.5</v>
      </c>
      <c r="J81" s="54">
        <v>0</v>
      </c>
      <c r="K81" s="54">
        <v>5</v>
      </c>
      <c r="L81" s="54">
        <v>1</v>
      </c>
      <c r="M81" s="54">
        <v>2</v>
      </c>
      <c r="N81" s="54">
        <v>2</v>
      </c>
      <c r="O81" s="76">
        <f t="shared" si="8"/>
        <v>6.785714285714286</v>
      </c>
      <c r="P81" s="79">
        <f t="shared" si="17"/>
        <v>4.2105263157894735</v>
      </c>
      <c r="Q81" s="77">
        <f t="shared" si="9"/>
        <v>90</v>
      </c>
      <c r="R81" s="61">
        <f t="shared" si="10"/>
        <v>7.105263157894737</v>
      </c>
      <c r="S81" s="61">
        <f t="shared" si="18"/>
        <v>10.526315789473685</v>
      </c>
      <c r="T81" s="57">
        <f t="shared" si="11"/>
        <v>7.142857142857143</v>
      </c>
      <c r="U81" s="85">
        <f t="shared" si="12"/>
        <v>5.642857142857143</v>
      </c>
      <c r="V81" s="57">
        <f t="shared" si="13"/>
        <v>11.285714285714286</v>
      </c>
      <c r="W81" s="57">
        <f t="shared" si="14"/>
        <v>107.21428571428572</v>
      </c>
      <c r="X81" s="57">
        <f t="shared" si="15"/>
        <v>28.214285714285715</v>
      </c>
      <c r="Y81" s="57">
        <f t="shared" si="19"/>
        <v>11.285714285714286</v>
      </c>
      <c r="Z81" s="54">
        <f t="shared" si="16"/>
        <v>0</v>
      </c>
      <c r="AA81" s="55">
        <f t="shared" si="20"/>
        <v>8.464285714285715</v>
      </c>
      <c r="AB81" s="57" t="s">
        <v>1595</v>
      </c>
      <c r="AC81" s="57"/>
      <c r="AD81" s="54"/>
      <c r="AE81" s="54"/>
      <c r="AF81" s="54"/>
    </row>
    <row r="82" spans="1:32" ht="12.75">
      <c r="A82" s="57">
        <f>SUM(A71:A81)</f>
        <v>11824.814127574376</v>
      </c>
      <c r="B82" s="57"/>
      <c r="C82" s="57">
        <f>SUM(C71:C81)</f>
        <v>81.16538680386263</v>
      </c>
      <c r="D82" s="57">
        <f>SUM(D71:D81)</f>
        <v>5.0728366752414145</v>
      </c>
      <c r="E82" s="58" t="s">
        <v>1507</v>
      </c>
      <c r="F82" s="54"/>
      <c r="G82" s="54"/>
      <c r="H82" s="54"/>
      <c r="I82" s="54"/>
      <c r="J82" s="57"/>
      <c r="K82" s="87"/>
      <c r="L82" s="87"/>
      <c r="M82" s="57"/>
      <c r="N82" s="54"/>
      <c r="O82" s="87"/>
      <c r="P82" s="54"/>
      <c r="Q82" s="54"/>
      <c r="R82" s="54"/>
      <c r="S82" s="54"/>
      <c r="T82" s="54"/>
      <c r="U82" s="88"/>
      <c r="V82" s="57">
        <f aca="true" t="shared" si="22" ref="V82:AA82">SUM(V71:V81)</f>
        <v>362.03120113827714</v>
      </c>
      <c r="W82" s="57">
        <f t="shared" si="22"/>
        <v>745.0374037673519</v>
      </c>
      <c r="X82" s="57">
        <f t="shared" si="22"/>
        <v>983.5859656848784</v>
      </c>
      <c r="Y82" s="57">
        <f t="shared" si="22"/>
        <v>121.65501226613611</v>
      </c>
      <c r="Z82" s="57">
        <f t="shared" si="22"/>
        <v>283.62142857142857</v>
      </c>
      <c r="AA82" s="57">
        <f t="shared" si="22"/>
        <v>136.8290491098452</v>
      </c>
      <c r="AB82" s="54"/>
      <c r="AC82" s="54"/>
      <c r="AD82" s="54"/>
      <c r="AE82" s="54"/>
      <c r="AF82" s="54"/>
    </row>
    <row r="83" spans="1:32" ht="12.75">
      <c r="A83" s="54"/>
      <c r="B83" s="54"/>
      <c r="C83" s="55"/>
      <c r="D83" s="55"/>
      <c r="E83" s="56"/>
      <c r="F83" s="54">
        <v>2.9</v>
      </c>
      <c r="G83" s="54" t="s">
        <v>534</v>
      </c>
      <c r="H83" s="54"/>
      <c r="I83" s="84">
        <f>A82/F83</f>
        <v>4077.5221129566817</v>
      </c>
      <c r="J83" s="54" t="s">
        <v>536</v>
      </c>
      <c r="K83" s="54"/>
      <c r="L83" s="57">
        <f>V82/F83</f>
        <v>124.83834522009558</v>
      </c>
      <c r="M83" s="54" t="s">
        <v>535</v>
      </c>
      <c r="N83" s="54"/>
      <c r="O83" s="54">
        <f>Y82/F83</f>
        <v>41.95000422970211</v>
      </c>
      <c r="P83" s="54" t="s">
        <v>554</v>
      </c>
      <c r="Q83" s="54"/>
      <c r="R83" s="54">
        <f>AA82/F83</f>
        <v>47.182430727532825</v>
      </c>
      <c r="S83" s="54" t="s">
        <v>555</v>
      </c>
      <c r="T83" s="54"/>
      <c r="U83" s="54"/>
      <c r="V83" s="83">
        <f>4*V82</f>
        <v>1448.1248045531086</v>
      </c>
      <c r="W83" s="83">
        <f>9*W82</f>
        <v>6705.336633906167</v>
      </c>
      <c r="X83" s="83">
        <f>4*X82</f>
        <v>3934.3438627395135</v>
      </c>
      <c r="Y83" s="54"/>
      <c r="Z83" s="54"/>
      <c r="AA83" s="84">
        <f>9*AA82</f>
        <v>1231.4614419886066</v>
      </c>
      <c r="AB83" s="54" t="s">
        <v>697</v>
      </c>
      <c r="AC83" s="54"/>
      <c r="AD83" s="57">
        <f>V83+W83+X83</f>
        <v>12087.805301198789</v>
      </c>
      <c r="AE83" s="54" t="s">
        <v>797</v>
      </c>
      <c r="AF83" s="54"/>
    </row>
    <row r="84" spans="1:32" ht="12.75">
      <c r="A84" s="57">
        <f>7000*1.5</f>
        <v>10500</v>
      </c>
      <c r="B84" s="57"/>
      <c r="C84" s="55"/>
      <c r="D84" s="55"/>
      <c r="E84" s="58" t="s">
        <v>1917</v>
      </c>
      <c r="F84" s="54"/>
      <c r="G84" s="54"/>
      <c r="H84" s="54"/>
      <c r="I84" s="54"/>
      <c r="J84" s="54"/>
      <c r="K84" s="54"/>
      <c r="L84" s="54"/>
      <c r="M84" s="54"/>
      <c r="N84" s="54"/>
      <c r="O84" s="54"/>
      <c r="P84" s="54"/>
      <c r="Q84" s="54"/>
      <c r="R84" s="54"/>
      <c r="S84" s="54"/>
      <c r="T84" s="54"/>
      <c r="U84" s="54"/>
      <c r="V84" s="57">
        <f>V83*100/A82</f>
        <v>12.246491056262906</v>
      </c>
      <c r="W84" s="57">
        <f>100*W83/A82</f>
        <v>56.70564087996901</v>
      </c>
      <c r="X84" s="57">
        <f>X83*100/A82</f>
        <v>33.27192986116362</v>
      </c>
      <c r="Y84" s="55">
        <f>100*Y82/A82</f>
        <v>1.0288112012048276</v>
      </c>
      <c r="Z84" s="54"/>
      <c r="AA84" s="54">
        <f>100*AA83/A82</f>
        <v>10.414213946221379</v>
      </c>
      <c r="AB84" s="54" t="s">
        <v>1786</v>
      </c>
      <c r="AC84" s="54"/>
      <c r="AD84" s="57">
        <f>AD83-A82</f>
        <v>262.9911736244121</v>
      </c>
      <c r="AE84" s="54" t="s">
        <v>1921</v>
      </c>
      <c r="AF84" s="54"/>
    </row>
    <row r="85" spans="1:32" ht="12.75">
      <c r="A85" s="57">
        <f>A84-A82</f>
        <v>-1324.8141275743765</v>
      </c>
      <c r="B85" s="57">
        <f>C85*28.349523</f>
        <v>-222.69624928359565</v>
      </c>
      <c r="C85" s="57">
        <f>I85-C82</f>
        <v>-7.8553790581801195</v>
      </c>
      <c r="D85" s="54"/>
      <c r="E85" s="54" t="s">
        <v>1497</v>
      </c>
      <c r="F85" s="54"/>
      <c r="G85" s="54"/>
      <c r="H85" s="54"/>
      <c r="I85" s="83">
        <f>(A84/O85)/28.3</f>
        <v>73.31000774568251</v>
      </c>
      <c r="J85" s="54" t="s">
        <v>1496</v>
      </c>
      <c r="K85" s="54"/>
      <c r="L85" s="54"/>
      <c r="M85" s="54"/>
      <c r="N85" s="54"/>
      <c r="O85" s="55">
        <f>AVERAGE(O71:O79)</f>
        <v>5.0610380000155315</v>
      </c>
      <c r="P85" s="54" t="s">
        <v>446</v>
      </c>
      <c r="Q85" s="54"/>
      <c r="R85" s="54"/>
      <c r="S85" s="54"/>
      <c r="T85" s="54"/>
      <c r="U85" s="54"/>
      <c r="V85" s="54"/>
      <c r="W85" s="54"/>
      <c r="X85" s="54"/>
      <c r="Y85" s="54"/>
      <c r="Z85" s="54">
        <f>Z82/F83</f>
        <v>97.80049261083744</v>
      </c>
      <c r="AA85" s="54" t="s">
        <v>1923</v>
      </c>
      <c r="AB85" s="54"/>
      <c r="AC85" s="54"/>
      <c r="AD85" s="54"/>
      <c r="AE85" s="54"/>
      <c r="AF85" s="54"/>
    </row>
    <row r="86" spans="1:32" ht="12.75">
      <c r="A86" s="54">
        <f>7000*1.66667</f>
        <v>11666.69</v>
      </c>
      <c r="B86" s="54"/>
      <c r="C86" s="57"/>
      <c r="D86" s="54"/>
      <c r="E86" s="58" t="s">
        <v>447</v>
      </c>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row>
    <row r="87" spans="1:32" ht="12.75">
      <c r="A87" s="57">
        <f>A86-A82</f>
        <v>-158.12412757437596</v>
      </c>
      <c r="B87" s="54"/>
      <c r="C87" s="57">
        <f>I87-C82</f>
        <v>0.2903402691351431</v>
      </c>
      <c r="D87" s="54"/>
      <c r="E87" s="54" t="s">
        <v>448</v>
      </c>
      <c r="F87" s="54"/>
      <c r="G87" s="54"/>
      <c r="H87" s="54"/>
      <c r="I87" s="83">
        <f>(A86/O87)/28.3</f>
        <v>81.45572707299777</v>
      </c>
      <c r="J87" s="54" t="s">
        <v>1496</v>
      </c>
      <c r="K87" s="54"/>
      <c r="L87" s="54"/>
      <c r="M87" s="54"/>
      <c r="N87" s="54"/>
      <c r="O87" s="55">
        <f>AVERAGE(O71:O79)</f>
        <v>5.0610380000155315</v>
      </c>
      <c r="P87" s="54" t="s">
        <v>446</v>
      </c>
      <c r="Q87" s="54"/>
      <c r="R87" s="54"/>
      <c r="S87" s="54"/>
      <c r="T87" s="54"/>
      <c r="U87" s="54"/>
      <c r="V87" s="54"/>
      <c r="W87" s="54"/>
      <c r="X87" s="54"/>
      <c r="Y87" s="54"/>
      <c r="Z87" s="54"/>
      <c r="AA87" s="54"/>
      <c r="AB87" s="54"/>
      <c r="AC87" s="54"/>
      <c r="AD87" s="54"/>
      <c r="AE87" s="54"/>
      <c r="AF87" s="54"/>
    </row>
    <row r="88" spans="1:32" ht="12.75">
      <c r="A88" s="54"/>
      <c r="B88" s="54">
        <v>26</v>
      </c>
      <c r="C88" s="55">
        <f>B88/28.349523</f>
        <v>0.917123014732911</v>
      </c>
      <c r="D88" s="57"/>
      <c r="E88" s="54" t="s">
        <v>461</v>
      </c>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row>
    <row r="89" spans="1:32" ht="12.75">
      <c r="A89" s="55"/>
      <c r="B89" s="58"/>
      <c r="C89" s="54"/>
      <c r="D89" s="54"/>
      <c r="E89" s="54"/>
      <c r="F89" s="54"/>
      <c r="G89" s="54"/>
      <c r="H89" s="89" t="s">
        <v>587</v>
      </c>
      <c r="I89" s="54"/>
      <c r="J89" s="54"/>
      <c r="K89" s="54"/>
      <c r="L89" s="54"/>
      <c r="M89" s="54"/>
      <c r="N89" s="54"/>
      <c r="O89" s="54"/>
      <c r="P89" s="54"/>
      <c r="Q89" s="54"/>
      <c r="R89" s="54"/>
      <c r="S89" s="54"/>
      <c r="T89" s="54"/>
      <c r="U89" s="54"/>
      <c r="V89" s="54"/>
      <c r="W89" s="54"/>
      <c r="X89" s="54"/>
      <c r="Y89" s="54"/>
      <c r="Z89" s="54"/>
      <c r="AA89" s="54"/>
      <c r="AB89" s="54" t="s">
        <v>565</v>
      </c>
      <c r="AC89" s="54"/>
      <c r="AD89" s="54"/>
      <c r="AE89" s="54"/>
      <c r="AF89" s="54"/>
    </row>
    <row r="90" spans="1:32" ht="12.75">
      <c r="A90" s="54"/>
      <c r="B90" s="54"/>
      <c r="C90" s="54"/>
      <c r="D90" s="54"/>
      <c r="E90" s="54"/>
      <c r="F90" s="54"/>
      <c r="G90" s="54"/>
      <c r="H90" s="54"/>
      <c r="I90" s="54" t="s">
        <v>586</v>
      </c>
      <c r="J90" s="54"/>
      <c r="K90" s="54"/>
      <c r="L90" s="54"/>
      <c r="M90" s="54"/>
      <c r="N90" s="54"/>
      <c r="O90" s="54"/>
      <c r="P90" s="54"/>
      <c r="Q90" s="54"/>
      <c r="R90" s="54"/>
      <c r="S90" s="54"/>
      <c r="T90" s="54"/>
      <c r="U90" s="54"/>
      <c r="V90" s="54"/>
      <c r="W90" s="54"/>
      <c r="X90" s="54"/>
      <c r="Y90" s="54"/>
      <c r="Z90" s="54"/>
      <c r="AA90" s="54"/>
      <c r="AB90" s="54">
        <v>4</v>
      </c>
      <c r="AC90" s="54" t="s">
        <v>568</v>
      </c>
      <c r="AD90" s="54"/>
      <c r="AE90" s="54"/>
      <c r="AF90" s="54"/>
    </row>
    <row r="91" spans="1:32" ht="12.75">
      <c r="A91" s="54"/>
      <c r="B91" s="54"/>
      <c r="C91" s="54"/>
      <c r="D91" s="54"/>
      <c r="E91" s="54"/>
      <c r="F91" s="54"/>
      <c r="G91" s="54"/>
      <c r="H91" s="54"/>
      <c r="I91" s="54" t="s">
        <v>1781</v>
      </c>
      <c r="J91" s="54"/>
      <c r="K91" s="54"/>
      <c r="L91" s="54"/>
      <c r="M91" s="54"/>
      <c r="N91" s="54"/>
      <c r="O91" s="54"/>
      <c r="P91" s="54"/>
      <c r="Q91" s="54"/>
      <c r="R91" s="54"/>
      <c r="S91" s="54"/>
      <c r="T91" s="54"/>
      <c r="U91" s="54"/>
      <c r="V91" s="54"/>
      <c r="W91" s="54"/>
      <c r="X91" s="54"/>
      <c r="Y91" s="54"/>
      <c r="Z91" s="54"/>
      <c r="AA91" s="54"/>
      <c r="AB91" s="54">
        <v>4</v>
      </c>
      <c r="AC91" s="54" t="s">
        <v>566</v>
      </c>
      <c r="AD91" s="54"/>
      <c r="AE91" s="54"/>
      <c r="AF91" s="54"/>
    </row>
    <row r="92" spans="1:32" ht="12.75">
      <c r="A92" s="54"/>
      <c r="B92" s="54"/>
      <c r="C92" s="54"/>
      <c r="D92" s="54"/>
      <c r="E92" s="54"/>
      <c r="F92" s="54"/>
      <c r="G92" s="54"/>
      <c r="H92" s="54"/>
      <c r="I92" s="54" t="s">
        <v>1796</v>
      </c>
      <c r="J92" s="54"/>
      <c r="K92" s="54"/>
      <c r="L92" s="54"/>
      <c r="M92" s="54"/>
      <c r="N92" s="54"/>
      <c r="O92" s="54"/>
      <c r="P92" s="54"/>
      <c r="Q92" s="54"/>
      <c r="R92" s="54"/>
      <c r="S92" s="54"/>
      <c r="T92" s="54"/>
      <c r="U92" s="54"/>
      <c r="V92" s="54"/>
      <c r="W92" s="54"/>
      <c r="X92" s="54"/>
      <c r="Y92" s="54"/>
      <c r="Z92" s="54"/>
      <c r="AA92" s="54"/>
      <c r="AB92" s="54">
        <v>9</v>
      </c>
      <c r="AC92" s="54" t="s">
        <v>567</v>
      </c>
      <c r="AD92" s="54"/>
      <c r="AE92" s="54"/>
      <c r="AF92" s="54"/>
    </row>
    <row r="93" spans="1:32" ht="12.75">
      <c r="A93" s="54"/>
      <c r="B93" s="54"/>
      <c r="C93" s="54"/>
      <c r="D93" s="54"/>
      <c r="E93" s="54"/>
      <c r="F93" s="54"/>
      <c r="G93" s="54"/>
      <c r="H93" s="54"/>
      <c r="I93" s="90" t="s">
        <v>1789</v>
      </c>
      <c r="J93" s="54"/>
      <c r="K93" s="54"/>
      <c r="L93" s="54"/>
      <c r="M93" s="54"/>
      <c r="N93" s="54"/>
      <c r="O93" s="54"/>
      <c r="P93" s="54"/>
      <c r="Q93" s="54"/>
      <c r="R93" s="54"/>
      <c r="S93" s="54"/>
      <c r="T93" s="54"/>
      <c r="U93" s="54"/>
      <c r="V93" s="54"/>
      <c r="W93" s="54"/>
      <c r="X93" s="54"/>
      <c r="Y93" s="54"/>
      <c r="Z93" s="54"/>
      <c r="AA93" s="54"/>
      <c r="AB93" s="54"/>
      <c r="AC93" s="54"/>
      <c r="AD93" s="54"/>
      <c r="AE93" s="54"/>
      <c r="AF93" s="54"/>
    </row>
    <row r="94" spans="1:32" ht="12.75">
      <c r="A94" s="54"/>
      <c r="B94" s="57"/>
      <c r="C94" s="55"/>
      <c r="D94" s="55"/>
      <c r="E94" s="58"/>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row>
    <row r="95" spans="1:32" ht="12.75">
      <c r="A95" s="54"/>
      <c r="B95" s="57">
        <f>SUM(B18:B94)</f>
        <v>7774.3037507164045</v>
      </c>
      <c r="C95" s="78">
        <f>B95/28.349523</f>
        <v>274.2304958964002</v>
      </c>
      <c r="D95" s="55">
        <f>C95/16</f>
        <v>17.139405993525013</v>
      </c>
      <c r="E95" s="58" t="s">
        <v>459</v>
      </c>
      <c r="F95" s="54"/>
      <c r="G95" s="54">
        <f>COUNT(B18:B64)</f>
        <v>46</v>
      </c>
      <c r="H95" s="54" t="s">
        <v>460</v>
      </c>
      <c r="I95" s="54"/>
      <c r="J95" s="54"/>
      <c r="K95" s="54"/>
      <c r="L95" s="54"/>
      <c r="M95" s="54"/>
      <c r="N95" s="54"/>
      <c r="O95" s="54"/>
      <c r="P95" s="54"/>
      <c r="Q95" s="54"/>
      <c r="R95" s="54"/>
      <c r="S95" s="54"/>
      <c r="T95" s="54"/>
      <c r="U95" s="54"/>
      <c r="V95" s="54"/>
      <c r="W95" s="54"/>
      <c r="X95" s="54"/>
      <c r="Y95" s="54"/>
      <c r="Z95" s="54"/>
      <c r="AA95" s="54"/>
      <c r="AB95" s="54"/>
      <c r="AC95" s="54"/>
      <c r="AD95" s="54"/>
      <c r="AE95" s="54"/>
      <c r="AF95" s="54"/>
    </row>
    <row r="96" spans="1:32" ht="12.75">
      <c r="A96" s="54"/>
      <c r="B96" s="57">
        <f>B95+B16</f>
        <v>8651.303750716404</v>
      </c>
      <c r="C96" s="78">
        <f>B96/28.349523</f>
        <v>305.1657606625834</v>
      </c>
      <c r="D96" s="55">
        <f>C96/16</f>
        <v>19.072860041411463</v>
      </c>
      <c r="E96" s="58" t="s">
        <v>1511</v>
      </c>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row>
    <row r="97" spans="1:32" ht="12.75">
      <c r="A97" s="54"/>
      <c r="B97" s="54"/>
      <c r="C97" s="54"/>
      <c r="D97" s="54"/>
      <c r="E97" s="56"/>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row>
    <row r="98" spans="1:32" ht="12.75">
      <c r="A98" s="54"/>
      <c r="B98" s="57"/>
      <c r="C98" s="55"/>
      <c r="D98" s="55"/>
      <c r="E98" s="56"/>
      <c r="F98" s="54"/>
      <c r="G98" s="54"/>
      <c r="H98" s="54"/>
      <c r="I98" s="54"/>
      <c r="J98" s="54" t="s">
        <v>1103</v>
      </c>
      <c r="K98" s="54"/>
      <c r="L98" s="54"/>
      <c r="M98" s="54"/>
      <c r="N98" s="54"/>
      <c r="O98" s="54"/>
      <c r="P98" s="54"/>
      <c r="Q98" s="54"/>
      <c r="R98" s="54"/>
      <c r="S98" s="54"/>
      <c r="T98" s="54"/>
      <c r="U98" s="54"/>
      <c r="V98" s="54"/>
      <c r="W98" s="54"/>
      <c r="X98" s="54"/>
      <c r="Y98" s="54"/>
      <c r="Z98" s="54"/>
      <c r="AA98" s="54"/>
      <c r="AB98" s="54"/>
      <c r="AC98" s="54"/>
      <c r="AD98" s="54"/>
      <c r="AE98" s="54"/>
      <c r="AF98" s="54"/>
    </row>
    <row r="99" spans="1:32" ht="12.75">
      <c r="A99" s="54"/>
      <c r="B99" s="57"/>
      <c r="C99" s="55"/>
      <c r="D99" s="55"/>
      <c r="E99" s="56"/>
      <c r="F99" s="54"/>
      <c r="G99" s="54"/>
      <c r="H99" s="54"/>
      <c r="I99" s="54"/>
      <c r="J99" s="54" t="s">
        <v>1006</v>
      </c>
      <c r="K99" s="54"/>
      <c r="L99" s="54"/>
      <c r="M99" s="54"/>
      <c r="N99" s="54"/>
      <c r="O99" s="54"/>
      <c r="P99" s="54"/>
      <c r="Q99" s="54"/>
      <c r="R99" s="54"/>
      <c r="S99" s="54"/>
      <c r="T99" s="54"/>
      <c r="U99" s="54"/>
      <c r="V99" s="54"/>
      <c r="W99" s="54"/>
      <c r="X99" s="54"/>
      <c r="Y99" s="54"/>
      <c r="Z99" s="54"/>
      <c r="AA99" s="54"/>
      <c r="AB99" s="54"/>
      <c r="AC99" s="54"/>
      <c r="AD99" s="54"/>
      <c r="AE99" s="54"/>
      <c r="AF99" s="54"/>
    </row>
    <row r="100" spans="2:9" ht="15">
      <c r="B100" s="9" t="s">
        <v>69</v>
      </c>
      <c r="C100" s="2"/>
      <c r="D100" s="2"/>
      <c r="E100" s="11"/>
      <c r="I100" s="31"/>
    </row>
    <row r="101" spans="2:4" ht="12.75">
      <c r="B101" s="9"/>
      <c r="C101" s="2"/>
      <c r="D101" s="2"/>
    </row>
    <row r="102" spans="2:4" ht="12.75">
      <c r="B102" s="9"/>
      <c r="C102" s="2"/>
      <c r="D102" s="2"/>
    </row>
    <row r="103" spans="2:4" ht="12.75">
      <c r="B103" s="9"/>
      <c r="C103" s="2"/>
      <c r="D103" s="2"/>
    </row>
    <row r="104" spans="2:4" ht="12.75">
      <c r="B104" s="9"/>
      <c r="C104" s="2"/>
      <c r="D104" s="2"/>
    </row>
    <row r="105" spans="2:4" ht="12.75">
      <c r="B105" s="9"/>
      <c r="C105" s="2"/>
      <c r="D105" s="2"/>
    </row>
    <row r="106" spans="2:5" ht="12.75">
      <c r="B106" s="9"/>
      <c r="C106" s="2"/>
      <c r="D106" s="2"/>
      <c r="E106" s="11"/>
    </row>
    <row r="107" spans="2:4" ht="12.75">
      <c r="B107" s="9"/>
      <c r="C107" s="2"/>
      <c r="D107" s="2"/>
    </row>
    <row r="108" spans="2:4" ht="12.75">
      <c r="B108" s="9"/>
      <c r="C108" s="2"/>
      <c r="D108" s="2"/>
    </row>
    <row r="109" spans="2:4" ht="12.75">
      <c r="B109" s="16"/>
      <c r="C109" s="2"/>
      <c r="D109" s="2"/>
    </row>
    <row r="110" spans="2:4" ht="12.75">
      <c r="B110" s="9"/>
      <c r="C110" s="2"/>
      <c r="D110" s="2"/>
    </row>
    <row r="111" spans="2:5" ht="12.75">
      <c r="B111" s="9"/>
      <c r="C111" s="2"/>
      <c r="D111" s="2"/>
      <c r="E111" s="11"/>
    </row>
    <row r="112" spans="2:5" ht="12.75">
      <c r="B112" s="9"/>
      <c r="C112" s="2"/>
      <c r="D112" s="2"/>
      <c r="E112" s="11"/>
    </row>
    <row r="113" spans="2:5" ht="12.75">
      <c r="B113" s="9"/>
      <c r="C113" s="2"/>
      <c r="D113" s="2"/>
      <c r="E113" s="11"/>
    </row>
    <row r="114" spans="2:5" ht="12.75">
      <c r="B114" s="16"/>
      <c r="C114" s="2"/>
      <c r="D114" s="2"/>
      <c r="E114" s="13"/>
    </row>
    <row r="115" spans="2:4" ht="12.75">
      <c r="B115" s="9"/>
      <c r="C115" s="2"/>
      <c r="D115" s="2"/>
    </row>
    <row r="116" ht="12.75">
      <c r="B116" s="9"/>
    </row>
    <row r="117" ht="12.75">
      <c r="B117" s="9"/>
    </row>
    <row r="118" ht="12.75">
      <c r="B118" s="9"/>
    </row>
    <row r="119" ht="12.75">
      <c r="B119" s="9"/>
    </row>
    <row r="120" ht="12.75">
      <c r="B120" s="9"/>
    </row>
    <row r="121" ht="12.75">
      <c r="B121" s="9"/>
    </row>
    <row r="122" ht="12.75">
      <c r="B122" s="9"/>
    </row>
    <row r="123" ht="12.75">
      <c r="B123" s="9"/>
    </row>
    <row r="124" ht="12.75">
      <c r="B124" s="9"/>
    </row>
    <row r="125" ht="12.75">
      <c r="B125" s="9"/>
    </row>
    <row r="126" ht="12.75">
      <c r="B126" s="9"/>
    </row>
    <row r="127" ht="12.75">
      <c r="B127" s="9"/>
    </row>
  </sheetData>
  <printOptions/>
  <pageMargins left="0.75" right="0.75" top="1" bottom="1" header="0.5" footer="0.5"/>
  <pageSetup orientation="landscape" paperSize="3" r:id="rId1"/>
</worksheet>
</file>

<file path=xl/worksheets/sheet3.xml><?xml version="1.0" encoding="utf-8"?>
<worksheet xmlns="http://schemas.openxmlformats.org/spreadsheetml/2006/main" xmlns:r="http://schemas.openxmlformats.org/officeDocument/2006/relationships">
  <dimension ref="A1:AO116"/>
  <sheetViews>
    <sheetView workbookViewId="0" topLeftCell="A1">
      <pane ySplit="1" topLeftCell="BM2" activePane="bottomLeft" state="frozen"/>
      <selection pane="topLeft" activeCell="A1" sqref="A1"/>
      <selection pane="bottomLeft" activeCell="E8" sqref="E8"/>
    </sheetView>
  </sheetViews>
  <sheetFormatPr defaultColWidth="9.140625" defaultRowHeight="12.75"/>
  <cols>
    <col min="1" max="2" width="7.28125" style="0" bestFit="1" customWidth="1"/>
    <col min="3" max="3" width="4.28125" style="0" customWidth="1"/>
    <col min="4" max="4" width="6.00390625" style="0" customWidth="1"/>
    <col min="5" max="5" width="6.140625" style="0" customWidth="1"/>
    <col min="6" max="6" width="4.57421875" style="0" bestFit="1" customWidth="1"/>
    <col min="7" max="7" width="4.28125" style="0" customWidth="1"/>
    <col min="8" max="8" width="33.00390625" style="0" customWidth="1"/>
    <col min="9" max="9" width="3.8515625" style="0" customWidth="1"/>
    <col min="10" max="10" width="4.28125" style="0" customWidth="1"/>
    <col min="11" max="11" width="2.8515625" style="0" customWidth="1"/>
    <col min="12" max="12" width="3.7109375" style="0" customWidth="1"/>
    <col min="13" max="13" width="3.00390625" style="0" customWidth="1"/>
    <col min="14" max="14" width="2.8515625" style="0" customWidth="1"/>
    <col min="15" max="15" width="4.140625" style="0" customWidth="1"/>
    <col min="16" max="16" width="2.8515625" style="0" customWidth="1"/>
    <col min="17" max="17" width="2.57421875" style="0" customWidth="1"/>
    <col min="18" max="18" width="3.7109375" style="0" customWidth="1"/>
    <col min="19" max="19" width="3.57421875" style="0" customWidth="1"/>
    <col min="20" max="20" width="3.00390625" style="0" customWidth="1"/>
    <col min="21" max="21" width="3.28125" style="0" customWidth="1"/>
    <col min="22" max="22" width="4.421875" style="0" customWidth="1"/>
    <col min="23" max="23" width="3.00390625" style="0" customWidth="1"/>
    <col min="24" max="24" width="4.7109375" style="0" bestFit="1" customWidth="1"/>
    <col min="25" max="25" width="5.57421875" style="0" customWidth="1"/>
    <col min="26" max="26" width="4.57421875" style="0" customWidth="1"/>
    <col min="27" max="27" width="4.8515625" style="0" customWidth="1"/>
    <col min="28" max="28" width="4.00390625" style="0" bestFit="1" customWidth="1"/>
    <col min="29" max="30" width="4.7109375" style="0" customWidth="1"/>
  </cols>
  <sheetData>
    <row r="1" spans="1:41" ht="129.75" customHeight="1">
      <c r="A1" s="268" t="s">
        <v>983</v>
      </c>
      <c r="B1" s="271" t="s">
        <v>697</v>
      </c>
      <c r="C1" s="271" t="s">
        <v>534</v>
      </c>
      <c r="D1" s="271" t="s">
        <v>976</v>
      </c>
      <c r="E1" s="267" t="s">
        <v>1603</v>
      </c>
      <c r="F1" s="266" t="s">
        <v>1265</v>
      </c>
      <c r="G1" s="266" t="s">
        <v>1604</v>
      </c>
      <c r="H1" s="266" t="s">
        <v>2075</v>
      </c>
      <c r="I1" s="267" t="s">
        <v>1932</v>
      </c>
      <c r="J1" s="268" t="s">
        <v>559</v>
      </c>
      <c r="K1" s="268" t="s">
        <v>585</v>
      </c>
      <c r="L1" s="268" t="s">
        <v>584</v>
      </c>
      <c r="M1" s="268" t="s">
        <v>583</v>
      </c>
      <c r="N1" s="268" t="s">
        <v>582</v>
      </c>
      <c r="O1" s="268" t="s">
        <v>581</v>
      </c>
      <c r="P1" s="268" t="s">
        <v>580</v>
      </c>
      <c r="Q1" s="268" t="s">
        <v>579</v>
      </c>
      <c r="R1" s="279" t="s">
        <v>1950</v>
      </c>
      <c r="S1" s="268" t="s">
        <v>1798</v>
      </c>
      <c r="T1" s="268" t="s">
        <v>1797</v>
      </c>
      <c r="U1" s="268" t="s">
        <v>1785</v>
      </c>
      <c r="V1" s="268" t="s">
        <v>1820</v>
      </c>
      <c r="W1" s="268" t="s">
        <v>563</v>
      </c>
      <c r="X1" s="268" t="s">
        <v>572</v>
      </c>
      <c r="Y1" s="268" t="s">
        <v>571</v>
      </c>
      <c r="Z1" s="268" t="s">
        <v>575</v>
      </c>
      <c r="AA1" s="268" t="s">
        <v>576</v>
      </c>
      <c r="AB1" s="268" t="s">
        <v>577</v>
      </c>
      <c r="AC1" s="268" t="s">
        <v>578</v>
      </c>
      <c r="AD1" s="268" t="s">
        <v>553</v>
      </c>
      <c r="AE1" s="268"/>
      <c r="AF1" s="268"/>
      <c r="AG1" s="266"/>
      <c r="AH1" s="266"/>
      <c r="AI1" s="266"/>
      <c r="AJ1" s="266"/>
      <c r="AK1" s="266"/>
      <c r="AL1" s="266"/>
      <c r="AM1" s="266"/>
      <c r="AN1" s="266"/>
      <c r="AO1" s="266"/>
    </row>
    <row r="2" spans="1:32" ht="12.75">
      <c r="A2" s="9">
        <f>(D2/I2)*J2</f>
        <v>1706.0714285714287</v>
      </c>
      <c r="B2" s="9">
        <f>J2*X2</f>
        <v>1706.0714285714287</v>
      </c>
      <c r="C2" s="9">
        <v>123</v>
      </c>
      <c r="D2">
        <f>97+92+92</f>
        <v>281</v>
      </c>
      <c r="E2">
        <f>87+98+96</f>
        <v>281</v>
      </c>
      <c r="F2" s="2">
        <f aca="true" t="shared" si="0" ref="F2:F13">E2/28.349523</f>
        <v>9.911983351536461</v>
      </c>
      <c r="G2" s="2">
        <f aca="true" t="shared" si="1" ref="G2:G13">F2/16</f>
        <v>0.6194989594710288</v>
      </c>
      <c r="H2" s="11" t="s">
        <v>1845</v>
      </c>
      <c r="I2" s="9">
        <v>28</v>
      </c>
      <c r="J2">
        <v>170</v>
      </c>
      <c r="K2">
        <v>13</v>
      </c>
      <c r="L2" s="2">
        <v>3</v>
      </c>
      <c r="M2">
        <v>0</v>
      </c>
      <c r="N2">
        <v>9</v>
      </c>
      <c r="O2">
        <v>2</v>
      </c>
      <c r="P2">
        <v>5</v>
      </c>
      <c r="Q2">
        <v>1</v>
      </c>
      <c r="R2" s="32">
        <f aca="true" t="shared" si="2" ref="R2:R13">J2/I2</f>
        <v>6.071428571428571</v>
      </c>
      <c r="S2" s="9">
        <f aca="true" t="shared" si="3" ref="S2:S13">100*4*P2/J2</f>
        <v>11.764705882352942</v>
      </c>
      <c r="T2" s="9">
        <f aca="true" t="shared" si="4" ref="T2:T13">100*9*K2/J2</f>
        <v>68.82352941176471</v>
      </c>
      <c r="U2" s="269">
        <f aca="true" t="shared" si="5" ref="U2:U13">100*(L2*9)/J2</f>
        <v>15.882352941176471</v>
      </c>
      <c r="V2" s="16">
        <f aca="true" t="shared" si="6" ref="V2:V13">100*N2*4/J2</f>
        <v>21.176470588235293</v>
      </c>
      <c r="W2" s="9">
        <f aca="true" t="shared" si="7" ref="W2:W13">100*Q2/I2</f>
        <v>3.5714285714285716</v>
      </c>
      <c r="X2" s="44">
        <f aca="true" t="shared" si="8" ref="X2:X13">E2/I2</f>
        <v>10.035714285714286</v>
      </c>
      <c r="Y2" s="9">
        <f aca="true" t="shared" si="9" ref="Y2:Y13">X2*P2</f>
        <v>50.17857142857143</v>
      </c>
      <c r="Z2" s="9">
        <f aca="true" t="shared" si="10" ref="Z2:Z13">X2*K2</f>
        <v>130.46428571428572</v>
      </c>
      <c r="AA2" s="9">
        <f aca="true" t="shared" si="11" ref="AA2:AA13">X2*N2</f>
        <v>90.32142857142858</v>
      </c>
      <c r="AB2" s="9">
        <f aca="true" t="shared" si="12" ref="AB2:AB13">Q2*X2</f>
        <v>10.035714285714286</v>
      </c>
      <c r="AC2">
        <f aca="true" t="shared" si="13" ref="AC2:AC13">X2*M2</f>
        <v>0</v>
      </c>
      <c r="AD2" s="2">
        <f aca="true" t="shared" si="14" ref="AD2:AD13">L2*X2</f>
        <v>30.10714285714286</v>
      </c>
      <c r="AE2" s="9" t="s">
        <v>528</v>
      </c>
      <c r="AF2" s="9"/>
    </row>
    <row r="3" spans="1:32" ht="12.75">
      <c r="A3" s="9">
        <f aca="true" t="shared" si="15" ref="A3:A15">(D3/I3)*J3</f>
        <v>630</v>
      </c>
      <c r="B3" s="9">
        <f aca="true" t="shared" si="16" ref="B3:B14">J3*X3</f>
        <v>630</v>
      </c>
      <c r="C3" s="9">
        <v>123</v>
      </c>
      <c r="D3">
        <f>3*$I3</f>
        <v>150</v>
      </c>
      <c r="E3">
        <f>3*I3</f>
        <v>150</v>
      </c>
      <c r="F3" s="2">
        <f t="shared" si="0"/>
        <v>5.291094315766794</v>
      </c>
      <c r="G3" s="2">
        <f t="shared" si="1"/>
        <v>0.33069339473542464</v>
      </c>
      <c r="H3" s="11" t="s">
        <v>1321</v>
      </c>
      <c r="I3" s="9">
        <v>50</v>
      </c>
      <c r="J3">
        <v>210</v>
      </c>
      <c r="K3">
        <v>7</v>
      </c>
      <c r="L3" s="10">
        <v>4.5</v>
      </c>
      <c r="M3">
        <v>2.5</v>
      </c>
      <c r="N3">
        <v>21</v>
      </c>
      <c r="O3">
        <v>14</v>
      </c>
      <c r="P3">
        <v>15</v>
      </c>
      <c r="Q3">
        <v>1</v>
      </c>
      <c r="R3" s="2">
        <f t="shared" si="2"/>
        <v>4.2</v>
      </c>
      <c r="S3" s="16">
        <f t="shared" si="3"/>
        <v>28.571428571428573</v>
      </c>
      <c r="T3" s="9">
        <f t="shared" si="4"/>
        <v>30</v>
      </c>
      <c r="U3" s="269">
        <f t="shared" si="5"/>
        <v>19.285714285714285</v>
      </c>
      <c r="V3" s="16">
        <f t="shared" si="6"/>
        <v>40</v>
      </c>
      <c r="W3" s="42">
        <f t="shared" si="7"/>
        <v>2</v>
      </c>
      <c r="X3" s="44">
        <f t="shared" si="8"/>
        <v>3</v>
      </c>
      <c r="Y3" s="16">
        <f t="shared" si="9"/>
        <v>45</v>
      </c>
      <c r="Z3" s="9">
        <f t="shared" si="10"/>
        <v>21</v>
      </c>
      <c r="AA3" s="9">
        <f t="shared" si="11"/>
        <v>63</v>
      </c>
      <c r="AB3" s="16">
        <f t="shared" si="12"/>
        <v>3</v>
      </c>
      <c r="AC3">
        <f t="shared" si="13"/>
        <v>7.5</v>
      </c>
      <c r="AD3" s="2">
        <f t="shared" si="14"/>
        <v>13.5</v>
      </c>
      <c r="AE3" s="11" t="s">
        <v>532</v>
      </c>
      <c r="AF3" s="9"/>
    </row>
    <row r="4" spans="1:32" ht="12.75">
      <c r="A4" s="9">
        <f t="shared" si="15"/>
        <v>420</v>
      </c>
      <c r="B4" s="9">
        <f t="shared" si="16"/>
        <v>420</v>
      </c>
      <c r="C4" s="9">
        <v>123</v>
      </c>
      <c r="D4">
        <f>3*35</f>
        <v>105</v>
      </c>
      <c r="E4">
        <f>3*I4</f>
        <v>105</v>
      </c>
      <c r="F4" s="2">
        <f t="shared" si="0"/>
        <v>3.703766021036756</v>
      </c>
      <c r="G4" s="2">
        <f t="shared" si="1"/>
        <v>0.23148537631479724</v>
      </c>
      <c r="H4" s="11" t="s">
        <v>2050</v>
      </c>
      <c r="I4" s="9">
        <v>35</v>
      </c>
      <c r="J4">
        <v>140</v>
      </c>
      <c r="K4">
        <v>4</v>
      </c>
      <c r="L4" s="10">
        <v>0.5</v>
      </c>
      <c r="M4" s="6">
        <v>0</v>
      </c>
      <c r="N4" s="6">
        <v>25</v>
      </c>
      <c r="O4" s="6">
        <v>13</v>
      </c>
      <c r="P4" s="6">
        <v>3</v>
      </c>
      <c r="Q4" s="6">
        <v>1</v>
      </c>
      <c r="R4" s="2">
        <f t="shared" si="2"/>
        <v>4</v>
      </c>
      <c r="S4" s="16">
        <f t="shared" si="3"/>
        <v>8.571428571428571</v>
      </c>
      <c r="T4" s="9">
        <f t="shared" si="4"/>
        <v>25.714285714285715</v>
      </c>
      <c r="U4" s="29">
        <f t="shared" si="5"/>
        <v>3.2142857142857144</v>
      </c>
      <c r="V4" s="16">
        <f t="shared" si="6"/>
        <v>71.42857142857143</v>
      </c>
      <c r="W4" s="9">
        <f t="shared" si="7"/>
        <v>2.857142857142857</v>
      </c>
      <c r="X4" s="44">
        <f t="shared" si="8"/>
        <v>3</v>
      </c>
      <c r="Y4" s="16">
        <f t="shared" si="9"/>
        <v>9</v>
      </c>
      <c r="Z4" s="9">
        <f t="shared" si="10"/>
        <v>12</v>
      </c>
      <c r="AA4" s="9">
        <f t="shared" si="11"/>
        <v>75</v>
      </c>
      <c r="AB4" s="9">
        <f t="shared" si="12"/>
        <v>3</v>
      </c>
      <c r="AC4">
        <f t="shared" si="13"/>
        <v>0</v>
      </c>
      <c r="AD4" s="2">
        <f t="shared" si="14"/>
        <v>1.5</v>
      </c>
      <c r="AE4" s="9" t="s">
        <v>1823</v>
      </c>
      <c r="AF4" s="9"/>
    </row>
    <row r="5" spans="1:32" ht="12.75">
      <c r="A5" s="9">
        <f t="shared" si="15"/>
        <v>630</v>
      </c>
      <c r="B5" s="9">
        <f t="shared" si="16"/>
        <v>630</v>
      </c>
      <c r="C5" s="9">
        <v>123</v>
      </c>
      <c r="D5" s="6">
        <f>200-50</f>
        <v>150</v>
      </c>
      <c r="E5" s="6">
        <f>3*I5</f>
        <v>150</v>
      </c>
      <c r="F5" s="2">
        <f t="shared" si="0"/>
        <v>5.291094315766794</v>
      </c>
      <c r="G5" s="2">
        <f t="shared" si="1"/>
        <v>0.33069339473542464</v>
      </c>
      <c r="H5" s="11" t="s">
        <v>517</v>
      </c>
      <c r="I5" s="9">
        <v>50</v>
      </c>
      <c r="J5">
        <v>210</v>
      </c>
      <c r="K5">
        <v>7</v>
      </c>
      <c r="L5" s="10">
        <v>2.5</v>
      </c>
      <c r="M5" s="6">
        <v>0</v>
      </c>
      <c r="N5" s="6">
        <v>23</v>
      </c>
      <c r="O5" s="6">
        <v>16</v>
      </c>
      <c r="P5" s="6">
        <v>15</v>
      </c>
      <c r="Q5" s="6">
        <v>2</v>
      </c>
      <c r="R5" s="2">
        <f t="shared" si="2"/>
        <v>4.2</v>
      </c>
      <c r="S5" s="16">
        <f t="shared" si="3"/>
        <v>28.571428571428573</v>
      </c>
      <c r="T5" s="9">
        <f t="shared" si="4"/>
        <v>30</v>
      </c>
      <c r="U5" s="16">
        <f t="shared" si="5"/>
        <v>10.714285714285714</v>
      </c>
      <c r="V5" s="16">
        <f t="shared" si="6"/>
        <v>43.80952380952381</v>
      </c>
      <c r="W5" s="42">
        <f t="shared" si="7"/>
        <v>4</v>
      </c>
      <c r="X5" s="44">
        <f t="shared" si="8"/>
        <v>3</v>
      </c>
      <c r="Y5" s="9">
        <f t="shared" si="9"/>
        <v>45</v>
      </c>
      <c r="Z5" s="9">
        <f t="shared" si="10"/>
        <v>21</v>
      </c>
      <c r="AA5" s="9">
        <f t="shared" si="11"/>
        <v>69</v>
      </c>
      <c r="AB5" s="9">
        <f t="shared" si="12"/>
        <v>6</v>
      </c>
      <c r="AC5">
        <f t="shared" si="13"/>
        <v>0</v>
      </c>
      <c r="AD5" s="2">
        <f t="shared" si="14"/>
        <v>7.5</v>
      </c>
      <c r="AE5" s="9" t="s">
        <v>1468</v>
      </c>
      <c r="AF5" s="9"/>
    </row>
    <row r="6" spans="1:32" ht="12.75">
      <c r="A6" s="9">
        <f t="shared" si="15"/>
        <v>1530</v>
      </c>
      <c r="B6" s="9">
        <f t="shared" si="16"/>
        <v>1530</v>
      </c>
      <c r="C6" s="9">
        <v>123</v>
      </c>
      <c r="D6">
        <v>270</v>
      </c>
      <c r="E6">
        <f>95+88+87</f>
        <v>270</v>
      </c>
      <c r="F6" s="2">
        <f t="shared" si="0"/>
        <v>9.52396976838023</v>
      </c>
      <c r="G6" s="2">
        <f t="shared" si="1"/>
        <v>0.5952481105237644</v>
      </c>
      <c r="H6" s="11" t="s">
        <v>604</v>
      </c>
      <c r="I6" s="9">
        <v>30</v>
      </c>
      <c r="J6">
        <v>170</v>
      </c>
      <c r="K6">
        <v>15</v>
      </c>
      <c r="L6" s="10">
        <v>1</v>
      </c>
      <c r="M6">
        <v>0</v>
      </c>
      <c r="N6">
        <v>5</v>
      </c>
      <c r="O6">
        <v>1</v>
      </c>
      <c r="P6">
        <v>7</v>
      </c>
      <c r="Q6">
        <v>4</v>
      </c>
      <c r="R6" s="2">
        <f t="shared" si="2"/>
        <v>5.666666666666667</v>
      </c>
      <c r="S6" s="9">
        <f t="shared" si="3"/>
        <v>16.470588235294116</v>
      </c>
      <c r="T6" s="29">
        <f t="shared" si="4"/>
        <v>79.41176470588235</v>
      </c>
      <c r="U6" s="270">
        <f t="shared" si="5"/>
        <v>5.294117647058823</v>
      </c>
      <c r="V6" s="16">
        <f t="shared" si="6"/>
        <v>11.764705882352942</v>
      </c>
      <c r="W6" s="29">
        <f t="shared" si="7"/>
        <v>13.333333333333334</v>
      </c>
      <c r="X6" s="44">
        <f t="shared" si="8"/>
        <v>9</v>
      </c>
      <c r="Y6" s="9">
        <f t="shared" si="9"/>
        <v>63</v>
      </c>
      <c r="Z6" s="9">
        <f t="shared" si="10"/>
        <v>135</v>
      </c>
      <c r="AA6" s="9">
        <f t="shared" si="11"/>
        <v>45</v>
      </c>
      <c r="AB6" s="9">
        <f t="shared" si="12"/>
        <v>36</v>
      </c>
      <c r="AC6">
        <f t="shared" si="13"/>
        <v>0</v>
      </c>
      <c r="AD6" s="2">
        <f t="shared" si="14"/>
        <v>9</v>
      </c>
      <c r="AE6" s="9" t="s">
        <v>527</v>
      </c>
      <c r="AF6" s="9"/>
    </row>
    <row r="7" spans="1:32" ht="12.75">
      <c r="A7" s="9">
        <f t="shared" si="15"/>
        <v>630</v>
      </c>
      <c r="B7" s="9">
        <f>J7*X7</f>
        <v>630</v>
      </c>
      <c r="C7" s="9">
        <v>123</v>
      </c>
      <c r="D7">
        <f>7*$I7</f>
        <v>154</v>
      </c>
      <c r="E7">
        <f>7*$I7</f>
        <v>154</v>
      </c>
      <c r="F7" s="2">
        <f t="shared" si="0"/>
        <v>5.432190164187242</v>
      </c>
      <c r="G7" s="2">
        <f t="shared" si="1"/>
        <v>0.3395118852617026</v>
      </c>
      <c r="H7" s="11" t="s">
        <v>253</v>
      </c>
      <c r="I7" s="9">
        <v>22</v>
      </c>
      <c r="J7">
        <v>90</v>
      </c>
      <c r="K7">
        <v>2</v>
      </c>
      <c r="L7" s="10">
        <v>0.5</v>
      </c>
      <c r="M7">
        <v>0</v>
      </c>
      <c r="N7">
        <v>18</v>
      </c>
      <c r="O7">
        <v>8</v>
      </c>
      <c r="P7">
        <v>1</v>
      </c>
      <c r="Q7">
        <v>0</v>
      </c>
      <c r="R7" s="2">
        <f t="shared" si="2"/>
        <v>4.090909090909091</v>
      </c>
      <c r="S7" s="42">
        <f t="shared" si="3"/>
        <v>4.444444444444445</v>
      </c>
      <c r="T7" s="9">
        <f t="shared" si="4"/>
        <v>20</v>
      </c>
      <c r="U7" s="29">
        <f t="shared" si="5"/>
        <v>5</v>
      </c>
      <c r="V7" s="29">
        <f t="shared" si="6"/>
        <v>80</v>
      </c>
      <c r="W7" s="42">
        <f t="shared" si="7"/>
        <v>0</v>
      </c>
      <c r="X7" s="44">
        <f>E7/I7</f>
        <v>7</v>
      </c>
      <c r="Y7" s="9">
        <f t="shared" si="9"/>
        <v>7</v>
      </c>
      <c r="Z7" s="9">
        <f t="shared" si="10"/>
        <v>14</v>
      </c>
      <c r="AA7" s="9">
        <f t="shared" si="11"/>
        <v>126</v>
      </c>
      <c r="AB7" s="9">
        <f t="shared" si="12"/>
        <v>0</v>
      </c>
      <c r="AC7">
        <f t="shared" si="13"/>
        <v>0</v>
      </c>
      <c r="AD7" s="2">
        <f t="shared" si="14"/>
        <v>3.5</v>
      </c>
      <c r="AE7" s="9" t="s">
        <v>1591</v>
      </c>
      <c r="AF7" s="9"/>
    </row>
    <row r="8" spans="1:32" ht="12.75">
      <c r="A8" s="9">
        <f t="shared" si="15"/>
        <v>1704</v>
      </c>
      <c r="B8" s="9">
        <f t="shared" si="16"/>
        <v>1704</v>
      </c>
      <c r="C8" s="9">
        <v>123</v>
      </c>
      <c r="D8">
        <f>100+90+94</f>
        <v>284</v>
      </c>
      <c r="E8">
        <f>92+101+91</f>
        <v>284</v>
      </c>
      <c r="F8" s="2">
        <f t="shared" si="0"/>
        <v>10.017805237851796</v>
      </c>
      <c r="G8" s="2">
        <f t="shared" si="1"/>
        <v>0.6261128273657373</v>
      </c>
      <c r="H8" s="11" t="s">
        <v>564</v>
      </c>
      <c r="I8" s="9">
        <v>30</v>
      </c>
      <c r="J8">
        <v>180</v>
      </c>
      <c r="K8">
        <v>13</v>
      </c>
      <c r="L8" s="10">
        <v>1.5</v>
      </c>
      <c r="M8">
        <v>0</v>
      </c>
      <c r="N8">
        <v>9</v>
      </c>
      <c r="O8">
        <v>2</v>
      </c>
      <c r="P8">
        <v>6</v>
      </c>
      <c r="Q8">
        <v>3</v>
      </c>
      <c r="R8" s="32">
        <f t="shared" si="2"/>
        <v>6</v>
      </c>
      <c r="S8" s="9">
        <f t="shared" si="3"/>
        <v>13.333333333333334</v>
      </c>
      <c r="T8" s="16">
        <f t="shared" si="4"/>
        <v>65</v>
      </c>
      <c r="U8" s="16">
        <f t="shared" si="5"/>
        <v>7.5</v>
      </c>
      <c r="V8" s="16">
        <f t="shared" si="6"/>
        <v>20</v>
      </c>
      <c r="W8" s="29">
        <f t="shared" si="7"/>
        <v>10</v>
      </c>
      <c r="X8" s="44">
        <f t="shared" si="8"/>
        <v>9.466666666666667</v>
      </c>
      <c r="Y8" s="9">
        <f t="shared" si="9"/>
        <v>56.8</v>
      </c>
      <c r="Z8" s="9">
        <f t="shared" si="10"/>
        <v>123.06666666666666</v>
      </c>
      <c r="AA8" s="9">
        <f t="shared" si="11"/>
        <v>85.2</v>
      </c>
      <c r="AB8" s="9">
        <f t="shared" si="12"/>
        <v>28.4</v>
      </c>
      <c r="AC8" s="9">
        <f t="shared" si="13"/>
        <v>0</v>
      </c>
      <c r="AD8" s="2">
        <f t="shared" si="14"/>
        <v>14.2</v>
      </c>
      <c r="AE8" s="9" t="s">
        <v>570</v>
      </c>
      <c r="AF8" s="9"/>
    </row>
    <row r="9" spans="1:32" ht="13.5" thickBot="1">
      <c r="A9" s="9"/>
      <c r="B9" s="9"/>
      <c r="C9" s="9"/>
      <c r="D9" s="9"/>
      <c r="E9">
        <v>56</v>
      </c>
      <c r="F9" s="2">
        <f t="shared" si="0"/>
        <v>1.97534187788627</v>
      </c>
      <c r="G9" s="2">
        <f t="shared" si="1"/>
        <v>0.12345886736789187</v>
      </c>
      <c r="H9" s="11" t="s">
        <v>606</v>
      </c>
      <c r="I9">
        <v>56</v>
      </c>
      <c r="J9">
        <v>220</v>
      </c>
      <c r="K9">
        <v>6</v>
      </c>
      <c r="L9" s="10">
        <v>4</v>
      </c>
      <c r="M9">
        <v>2.5</v>
      </c>
      <c r="N9">
        <v>34</v>
      </c>
      <c r="O9">
        <v>13</v>
      </c>
      <c r="P9">
        <v>8</v>
      </c>
      <c r="Q9">
        <v>2</v>
      </c>
      <c r="R9" s="2">
        <f t="shared" si="2"/>
        <v>3.9285714285714284</v>
      </c>
      <c r="S9" s="16">
        <f t="shared" si="3"/>
        <v>14.545454545454545</v>
      </c>
      <c r="T9" s="9">
        <f t="shared" si="4"/>
        <v>24.545454545454547</v>
      </c>
      <c r="U9" s="42">
        <f t="shared" si="5"/>
        <v>16.363636363636363</v>
      </c>
      <c r="V9" s="16">
        <f t="shared" si="6"/>
        <v>61.81818181818182</v>
      </c>
      <c r="W9" s="16">
        <f t="shared" si="7"/>
        <v>3.5714285714285716</v>
      </c>
      <c r="X9" s="44">
        <f t="shared" si="8"/>
        <v>1</v>
      </c>
      <c r="Y9" s="16">
        <f t="shared" si="9"/>
        <v>8</v>
      </c>
      <c r="Z9" s="9">
        <f t="shared" si="10"/>
        <v>6</v>
      </c>
      <c r="AA9" s="9">
        <f t="shared" si="11"/>
        <v>34</v>
      </c>
      <c r="AB9" s="16">
        <f t="shared" si="12"/>
        <v>2</v>
      </c>
      <c r="AC9">
        <f t="shared" si="13"/>
        <v>2.5</v>
      </c>
      <c r="AD9" s="2">
        <f t="shared" si="14"/>
        <v>4</v>
      </c>
      <c r="AE9" s="9"/>
      <c r="AF9" s="9"/>
    </row>
    <row r="10" spans="1:32" ht="12.75">
      <c r="A10" s="286">
        <f t="shared" si="15"/>
        <v>603.2941176470588</v>
      </c>
      <c r="B10" s="274">
        <f t="shared" si="16"/>
        <v>105.57647058823528</v>
      </c>
      <c r="C10" s="274">
        <v>123</v>
      </c>
      <c r="D10" s="174">
        <v>160</v>
      </c>
      <c r="E10" s="191">
        <v>28</v>
      </c>
      <c r="F10" s="2">
        <f t="shared" si="0"/>
        <v>0.987670938943135</v>
      </c>
      <c r="G10" s="2">
        <f t="shared" si="1"/>
        <v>0.061729433683945935</v>
      </c>
      <c r="H10" s="11" t="s">
        <v>871</v>
      </c>
      <c r="I10" s="9">
        <v>17</v>
      </c>
      <c r="J10">
        <v>64.1</v>
      </c>
      <c r="K10">
        <v>0</v>
      </c>
      <c r="L10" s="10">
        <v>0</v>
      </c>
      <c r="M10" s="6">
        <v>0</v>
      </c>
      <c r="N10" s="6">
        <v>15.9</v>
      </c>
      <c r="O10" s="6">
        <v>16</v>
      </c>
      <c r="P10" s="6">
        <v>0</v>
      </c>
      <c r="Q10" s="6">
        <v>0</v>
      </c>
      <c r="R10" s="2">
        <f t="shared" si="2"/>
        <v>3.770588235294117</v>
      </c>
      <c r="S10" s="42">
        <f t="shared" si="3"/>
        <v>0</v>
      </c>
      <c r="T10" s="9">
        <f t="shared" si="4"/>
        <v>0</v>
      </c>
      <c r="U10" s="29">
        <f t="shared" si="5"/>
        <v>0</v>
      </c>
      <c r="V10" s="29">
        <f t="shared" si="6"/>
        <v>99.21996879875196</v>
      </c>
      <c r="W10" s="42">
        <f t="shared" si="7"/>
        <v>0</v>
      </c>
      <c r="X10" s="44">
        <f t="shared" si="8"/>
        <v>1.6470588235294117</v>
      </c>
      <c r="Y10" s="16">
        <f t="shared" si="9"/>
        <v>0</v>
      </c>
      <c r="Z10" s="9">
        <f t="shared" si="10"/>
        <v>0</v>
      </c>
      <c r="AA10" s="9">
        <f t="shared" si="11"/>
        <v>26.188235294117646</v>
      </c>
      <c r="AB10" s="9">
        <f t="shared" si="12"/>
        <v>0</v>
      </c>
      <c r="AC10">
        <f t="shared" si="13"/>
        <v>0</v>
      </c>
      <c r="AD10" s="2">
        <f t="shared" si="14"/>
        <v>0</v>
      </c>
      <c r="AE10" s="9" t="s">
        <v>2062</v>
      </c>
      <c r="AF10" s="9"/>
    </row>
    <row r="11" spans="1:32" ht="13.5" thickBot="1">
      <c r="A11" s="289">
        <f>B11+B10</f>
        <v>600.5764705882352</v>
      </c>
      <c r="B11" s="287">
        <f t="shared" si="16"/>
        <v>495</v>
      </c>
      <c r="C11" s="287">
        <v>123</v>
      </c>
      <c r="D11" s="176"/>
      <c r="E11" s="288">
        <v>132</v>
      </c>
      <c r="F11" s="2">
        <f t="shared" si="0"/>
        <v>4.6561629978747785</v>
      </c>
      <c r="G11" s="2">
        <f t="shared" si="1"/>
        <v>0.29101018736717366</v>
      </c>
      <c r="H11" s="11" t="s">
        <v>870</v>
      </c>
      <c r="I11" s="9">
        <v>16</v>
      </c>
      <c r="J11">
        <v>60</v>
      </c>
      <c r="K11">
        <v>0</v>
      </c>
      <c r="L11" s="10">
        <v>0</v>
      </c>
      <c r="M11" s="6">
        <v>0</v>
      </c>
      <c r="N11" s="6">
        <v>16</v>
      </c>
      <c r="O11" s="6">
        <v>10</v>
      </c>
      <c r="P11" s="6">
        <v>0</v>
      </c>
      <c r="Q11" s="6">
        <v>0</v>
      </c>
      <c r="R11" s="2">
        <f t="shared" si="2"/>
        <v>3.75</v>
      </c>
      <c r="S11" s="42">
        <f t="shared" si="3"/>
        <v>0</v>
      </c>
      <c r="T11" s="9">
        <f t="shared" si="4"/>
        <v>0</v>
      </c>
      <c r="U11" s="29">
        <f t="shared" si="5"/>
        <v>0</v>
      </c>
      <c r="V11" s="29">
        <f t="shared" si="6"/>
        <v>106.66666666666667</v>
      </c>
      <c r="W11" s="42">
        <f t="shared" si="7"/>
        <v>0</v>
      </c>
      <c r="X11" s="44">
        <f t="shared" si="8"/>
        <v>8.25</v>
      </c>
      <c r="Y11" s="16">
        <f t="shared" si="9"/>
        <v>0</v>
      </c>
      <c r="Z11" s="9">
        <f t="shared" si="10"/>
        <v>0</v>
      </c>
      <c r="AA11" s="9">
        <f t="shared" si="11"/>
        <v>132</v>
      </c>
      <c r="AB11" s="9">
        <f t="shared" si="12"/>
        <v>0</v>
      </c>
      <c r="AC11">
        <f t="shared" si="13"/>
        <v>0</v>
      </c>
      <c r="AD11" s="2">
        <f t="shared" si="14"/>
        <v>0</v>
      </c>
      <c r="AE11" s="9" t="s">
        <v>2062</v>
      </c>
      <c r="AF11" s="9"/>
    </row>
    <row r="12" spans="1:32" ht="12.75">
      <c r="A12" s="9">
        <f t="shared" si="15"/>
        <v>600</v>
      </c>
      <c r="B12" s="9">
        <f t="shared" si="16"/>
        <v>600</v>
      </c>
      <c r="C12" s="9"/>
      <c r="D12">
        <f>3*39</f>
        <v>117</v>
      </c>
      <c r="E12">
        <f>3*I12</f>
        <v>117</v>
      </c>
      <c r="F12" s="2">
        <f t="shared" si="0"/>
        <v>4.127053566298099</v>
      </c>
      <c r="G12" s="2">
        <f t="shared" si="1"/>
        <v>0.2579408478936312</v>
      </c>
      <c r="H12" s="11" t="s">
        <v>1937</v>
      </c>
      <c r="I12" s="9">
        <v>39</v>
      </c>
      <c r="J12">
        <v>200</v>
      </c>
      <c r="K12">
        <v>10</v>
      </c>
      <c r="L12" s="10">
        <v>1.5</v>
      </c>
      <c r="M12">
        <v>0</v>
      </c>
      <c r="N12">
        <v>23</v>
      </c>
      <c r="O12">
        <v>4</v>
      </c>
      <c r="P12">
        <v>4</v>
      </c>
      <c r="Q12">
        <v>1</v>
      </c>
      <c r="R12" s="2">
        <f t="shared" si="2"/>
        <v>5.128205128205129</v>
      </c>
      <c r="S12" s="42">
        <f t="shared" si="3"/>
        <v>8</v>
      </c>
      <c r="T12" s="9">
        <f t="shared" si="4"/>
        <v>45</v>
      </c>
      <c r="U12" s="16">
        <f t="shared" si="5"/>
        <v>6.75</v>
      </c>
      <c r="V12" s="16">
        <f t="shared" si="6"/>
        <v>46</v>
      </c>
      <c r="W12" s="9">
        <f t="shared" si="7"/>
        <v>2.5641025641025643</v>
      </c>
      <c r="X12" s="44">
        <f t="shared" si="8"/>
        <v>3</v>
      </c>
      <c r="Y12" s="9">
        <f t="shared" si="9"/>
        <v>12</v>
      </c>
      <c r="Z12" s="9">
        <f t="shared" si="10"/>
        <v>30</v>
      </c>
      <c r="AA12" s="9">
        <f t="shared" si="11"/>
        <v>69</v>
      </c>
      <c r="AB12" s="9">
        <f t="shared" si="12"/>
        <v>3</v>
      </c>
      <c r="AC12">
        <f t="shared" si="13"/>
        <v>0</v>
      </c>
      <c r="AD12" s="2">
        <f t="shared" si="14"/>
        <v>4.5</v>
      </c>
      <c r="AE12" s="9" t="s">
        <v>1590</v>
      </c>
      <c r="AF12" s="9"/>
    </row>
    <row r="13" spans="1:32" ht="12.75">
      <c r="A13" s="9">
        <f t="shared" si="15"/>
        <v>570</v>
      </c>
      <c r="B13" s="57">
        <f t="shared" si="16"/>
        <v>570</v>
      </c>
      <c r="C13" s="57">
        <v>123</v>
      </c>
      <c r="D13" s="54">
        <v>150</v>
      </c>
      <c r="E13" s="54">
        <f>3*I13</f>
        <v>150</v>
      </c>
      <c r="F13" s="2">
        <f t="shared" si="0"/>
        <v>5.291094315766794</v>
      </c>
      <c r="G13" s="2">
        <f t="shared" si="1"/>
        <v>0.33069339473542464</v>
      </c>
      <c r="H13" s="11" t="s">
        <v>44</v>
      </c>
      <c r="I13" s="9">
        <v>50</v>
      </c>
      <c r="J13">
        <v>190</v>
      </c>
      <c r="K13">
        <v>4.5</v>
      </c>
      <c r="L13" s="10">
        <v>3</v>
      </c>
      <c r="M13">
        <v>15</v>
      </c>
      <c r="N13">
        <v>19</v>
      </c>
      <c r="O13">
        <v>2</v>
      </c>
      <c r="P13">
        <v>20</v>
      </c>
      <c r="Q13">
        <v>0</v>
      </c>
      <c r="R13" s="2">
        <f t="shared" si="2"/>
        <v>3.8</v>
      </c>
      <c r="S13" s="29">
        <f t="shared" si="3"/>
        <v>42.10526315789474</v>
      </c>
      <c r="T13" s="9">
        <f t="shared" si="4"/>
        <v>21.31578947368421</v>
      </c>
      <c r="U13" s="16">
        <f t="shared" si="5"/>
        <v>14.210526315789474</v>
      </c>
      <c r="V13" s="16">
        <f t="shared" si="6"/>
        <v>40</v>
      </c>
      <c r="W13" s="42">
        <f t="shared" si="7"/>
        <v>0</v>
      </c>
      <c r="X13" s="44">
        <f t="shared" si="8"/>
        <v>3</v>
      </c>
      <c r="Y13" s="9">
        <f t="shared" si="9"/>
        <v>60</v>
      </c>
      <c r="Z13" s="9">
        <f t="shared" si="10"/>
        <v>13.5</v>
      </c>
      <c r="AA13" s="9">
        <f t="shared" si="11"/>
        <v>57</v>
      </c>
      <c r="AB13" s="9">
        <f t="shared" si="12"/>
        <v>0</v>
      </c>
      <c r="AC13">
        <f t="shared" si="13"/>
        <v>45</v>
      </c>
      <c r="AD13" s="2">
        <f t="shared" si="14"/>
        <v>9</v>
      </c>
      <c r="AE13" s="9" t="s">
        <v>1468</v>
      </c>
      <c r="AF13" s="9"/>
    </row>
    <row r="14" spans="1:31" ht="12.75">
      <c r="A14" s="9"/>
      <c r="B14" s="57">
        <f t="shared" si="16"/>
        <v>110</v>
      </c>
      <c r="C14" s="54">
        <v>1</v>
      </c>
      <c r="D14" s="54"/>
      <c r="E14" s="54">
        <f>1*I14</f>
        <v>28</v>
      </c>
      <c r="F14" s="2">
        <f>E14/28.349523</f>
        <v>0.987670938943135</v>
      </c>
      <c r="G14" s="2">
        <f>F14/16</f>
        <v>0.061729433683945935</v>
      </c>
      <c r="H14" s="11" t="s">
        <v>1713</v>
      </c>
      <c r="I14">
        <v>28</v>
      </c>
      <c r="J14">
        <v>110</v>
      </c>
      <c r="K14">
        <v>3</v>
      </c>
      <c r="L14" s="10">
        <v>2.5</v>
      </c>
      <c r="M14">
        <v>0</v>
      </c>
      <c r="N14">
        <v>16</v>
      </c>
      <c r="O14">
        <v>10</v>
      </c>
      <c r="P14">
        <v>5</v>
      </c>
      <c r="Q14">
        <v>1</v>
      </c>
      <c r="R14" s="2">
        <f>J14/I14</f>
        <v>3.9285714285714284</v>
      </c>
      <c r="S14" s="16">
        <f>100*4*P14/J14</f>
        <v>18.181818181818183</v>
      </c>
      <c r="T14" s="9">
        <f>100*9*K14/J14</f>
        <v>24.545454545454547</v>
      </c>
      <c r="U14" s="42">
        <f>100*(L14*9)/J14</f>
        <v>20.454545454545453</v>
      </c>
      <c r="V14" s="16">
        <f>100*N14*4/J14</f>
        <v>58.18181818181818</v>
      </c>
      <c r="W14" s="16">
        <f>100*Q14/I14</f>
        <v>3.5714285714285716</v>
      </c>
      <c r="X14" s="44">
        <f>E14/I14</f>
        <v>1</v>
      </c>
      <c r="Y14" s="16">
        <f>X14*P14</f>
        <v>5</v>
      </c>
      <c r="Z14" s="9">
        <f>X14*K14</f>
        <v>3</v>
      </c>
      <c r="AA14" s="9">
        <f>X14*N14</f>
        <v>16</v>
      </c>
      <c r="AB14" s="16">
        <f>Q14*X14</f>
        <v>1</v>
      </c>
      <c r="AC14">
        <f>X14*M14</f>
        <v>0</v>
      </c>
      <c r="AD14" s="2">
        <f>L14*X14</f>
        <v>2.5</v>
      </c>
      <c r="AE14" s="233" t="s">
        <v>533</v>
      </c>
    </row>
    <row r="15" spans="1:32" ht="12.75">
      <c r="A15" s="9">
        <f t="shared" si="15"/>
        <v>210</v>
      </c>
      <c r="B15" s="9">
        <f>J15*X15</f>
        <v>210</v>
      </c>
      <c r="C15" s="9">
        <v>2</v>
      </c>
      <c r="D15">
        <v>50</v>
      </c>
      <c r="E15">
        <f>1*I15</f>
        <v>50</v>
      </c>
      <c r="F15" s="2">
        <f>E15/28.349523</f>
        <v>1.763698105255598</v>
      </c>
      <c r="G15" s="2">
        <f>F15/16</f>
        <v>0.11023113157847488</v>
      </c>
      <c r="H15" s="11" t="s">
        <v>1372</v>
      </c>
      <c r="I15" s="9">
        <v>50</v>
      </c>
      <c r="J15">
        <v>210</v>
      </c>
      <c r="K15">
        <v>7</v>
      </c>
      <c r="L15" s="10">
        <v>4</v>
      </c>
      <c r="M15">
        <v>2.5</v>
      </c>
      <c r="N15">
        <v>23</v>
      </c>
      <c r="O15">
        <v>15</v>
      </c>
      <c r="P15">
        <v>15</v>
      </c>
      <c r="Q15" s="9">
        <v>0.5</v>
      </c>
      <c r="R15" s="2">
        <f>J15/I15</f>
        <v>4.2</v>
      </c>
      <c r="S15" s="29">
        <f>100*4*P15/J15</f>
        <v>28.571428571428573</v>
      </c>
      <c r="T15" s="9">
        <f>100*9*K15/J15</f>
        <v>30</v>
      </c>
      <c r="U15" s="42">
        <f>100*(L15*9)/J15</f>
        <v>17.142857142857142</v>
      </c>
      <c r="V15" s="16">
        <f>100*N15*4/J15</f>
        <v>43.80952380952381</v>
      </c>
      <c r="W15" s="42">
        <f>100*Q15/I15</f>
        <v>1</v>
      </c>
      <c r="X15" s="44">
        <f>E15/I15</f>
        <v>1</v>
      </c>
      <c r="Y15" s="16">
        <f>X15*P15</f>
        <v>15</v>
      </c>
      <c r="Z15" s="9">
        <f>X15*K15</f>
        <v>7</v>
      </c>
      <c r="AA15" s="9">
        <f>X15*N15</f>
        <v>23</v>
      </c>
      <c r="AB15" s="16">
        <f>Q15*X15</f>
        <v>0.5</v>
      </c>
      <c r="AC15">
        <f>X15*M15</f>
        <v>2.5</v>
      </c>
      <c r="AD15" s="2">
        <f>L15*X15</f>
        <v>4</v>
      </c>
      <c r="AE15" s="11" t="s">
        <v>532</v>
      </c>
      <c r="AF15" s="9"/>
    </row>
    <row r="16" ht="12.75">
      <c r="A16" s="9"/>
    </row>
    <row r="17" spans="1:32" ht="12.75" customHeight="1">
      <c r="A17" s="9"/>
      <c r="D17" s="28"/>
      <c r="E17" s="28"/>
      <c r="H17" s="12"/>
      <c r="I17" s="28"/>
      <c r="J17" s="1"/>
      <c r="K17" s="1"/>
      <c r="L17" s="1"/>
      <c r="M17" s="1"/>
      <c r="N17" s="1"/>
      <c r="O17" s="1"/>
      <c r="P17" s="1"/>
      <c r="Q17" s="1"/>
      <c r="R17" s="1"/>
      <c r="S17" s="1"/>
      <c r="T17" s="1"/>
      <c r="U17" s="1"/>
      <c r="V17" s="1"/>
      <c r="W17" s="1"/>
      <c r="X17" s="1"/>
      <c r="Y17" s="1"/>
      <c r="Z17" s="1"/>
      <c r="AA17" s="1"/>
      <c r="AB17" s="1"/>
      <c r="AC17" s="1"/>
      <c r="AD17" s="1"/>
      <c r="AE17" s="1"/>
      <c r="AF17" s="1"/>
    </row>
    <row r="18" spans="1:32" ht="12.75" customHeight="1">
      <c r="A18" s="9"/>
      <c r="D18" s="28"/>
      <c r="E18" s="28"/>
      <c r="H18" s="12" t="s">
        <v>1948</v>
      </c>
      <c r="I18" s="28"/>
      <c r="J18" s="1"/>
      <c r="K18" s="1"/>
      <c r="L18" s="1"/>
      <c r="M18" s="1"/>
      <c r="N18" s="1"/>
      <c r="O18" s="1"/>
      <c r="P18" s="1"/>
      <c r="Q18" s="1"/>
      <c r="R18" s="1"/>
      <c r="S18" s="1"/>
      <c r="T18" s="1"/>
      <c r="U18" s="1"/>
      <c r="V18" s="1"/>
      <c r="W18" s="1"/>
      <c r="X18" s="1"/>
      <c r="Y18" s="1"/>
      <c r="Z18" s="1"/>
      <c r="AA18" s="1"/>
      <c r="AB18" s="1"/>
      <c r="AC18" s="1"/>
      <c r="AD18" s="1"/>
      <c r="AE18" s="1"/>
      <c r="AF18" s="1"/>
    </row>
    <row r="19" spans="1:32" ht="12.75" customHeight="1">
      <c r="A19" s="9"/>
      <c r="B19" s="9">
        <f>J19*X19</f>
        <v>1170.4086021505377</v>
      </c>
      <c r="D19" s="28">
        <f>I19*B29/J19</f>
        <v>0</v>
      </c>
      <c r="E19" s="9">
        <v>172.4812676853424</v>
      </c>
      <c r="F19" s="2">
        <f>E19/28.349523</f>
        <v>6.08409770017444</v>
      </c>
      <c r="G19" s="2">
        <f>F19/16</f>
        <v>0.3802561062609025</v>
      </c>
      <c r="H19" s="11" t="s">
        <v>1293</v>
      </c>
      <c r="I19" s="9">
        <v>28</v>
      </c>
      <c r="J19">
        <v>190</v>
      </c>
      <c r="K19">
        <v>19</v>
      </c>
      <c r="L19" s="10">
        <v>1.5</v>
      </c>
      <c r="M19">
        <v>0</v>
      </c>
      <c r="N19">
        <v>5</v>
      </c>
      <c r="O19">
        <v>1</v>
      </c>
      <c r="P19">
        <v>2</v>
      </c>
      <c r="Q19">
        <v>2</v>
      </c>
      <c r="R19" s="32">
        <f>J19/I19</f>
        <v>6.785714285714286</v>
      </c>
      <c r="S19" s="42">
        <f>100*4*P19/J19</f>
        <v>4.2105263157894735</v>
      </c>
      <c r="T19" s="29">
        <f>100*9*K19/J19</f>
        <v>90</v>
      </c>
      <c r="U19" s="16">
        <f>100*(L19*9)/J19</f>
        <v>7.105263157894737</v>
      </c>
      <c r="V19" s="16">
        <f>100*N19*4/J19</f>
        <v>10.526315789473685</v>
      </c>
      <c r="W19" s="9">
        <f>100*Q19/I19</f>
        <v>7.142857142857143</v>
      </c>
      <c r="X19" s="44">
        <f>E19/I19</f>
        <v>6.160045274476515</v>
      </c>
      <c r="Y19" s="9">
        <f>X19*P19</f>
        <v>12.32009054895303</v>
      </c>
      <c r="Z19" s="9">
        <f>X19*K19</f>
        <v>117.04086021505378</v>
      </c>
      <c r="AA19" s="9">
        <f>X19*N19</f>
        <v>30.800226372382575</v>
      </c>
      <c r="AB19" s="9">
        <f>Q19*X19</f>
        <v>12.32009054895303</v>
      </c>
      <c r="AC19">
        <f>X19*M19</f>
        <v>0</v>
      </c>
      <c r="AD19" s="2">
        <f>L19*X19</f>
        <v>9.240067911714771</v>
      </c>
      <c r="AE19" s="9" t="s">
        <v>1595</v>
      </c>
      <c r="AF19" s="1"/>
    </row>
    <row r="20" spans="1:32" ht="12.75" customHeight="1">
      <c r="A20" s="9"/>
      <c r="B20" s="9">
        <f>J20*X20</f>
        <v>177.33333333333334</v>
      </c>
      <c r="D20" s="28"/>
      <c r="E20">
        <v>28</v>
      </c>
      <c r="F20" s="2">
        <f>E20/28.349523</f>
        <v>0.987670938943135</v>
      </c>
      <c r="G20" s="2">
        <f>F20/16</f>
        <v>0.061729433683945935</v>
      </c>
      <c r="H20" s="11" t="s">
        <v>1848</v>
      </c>
      <c r="I20" s="9">
        <v>30</v>
      </c>
      <c r="J20">
        <v>190</v>
      </c>
      <c r="K20">
        <v>15</v>
      </c>
      <c r="L20" s="10">
        <v>4</v>
      </c>
      <c r="M20">
        <v>0</v>
      </c>
      <c r="N20">
        <v>9</v>
      </c>
      <c r="O20">
        <v>1</v>
      </c>
      <c r="P20">
        <v>4</v>
      </c>
      <c r="Q20">
        <v>4</v>
      </c>
      <c r="R20" s="32">
        <f>J20/I20</f>
        <v>6.333333333333333</v>
      </c>
      <c r="S20" s="42">
        <f>100*4*P20/J20</f>
        <v>8.421052631578947</v>
      </c>
      <c r="T20" s="29">
        <f>100*9*K20/J20</f>
        <v>71.05263157894737</v>
      </c>
      <c r="U20" s="42">
        <f>100*(L20*9)/J20</f>
        <v>18.94736842105263</v>
      </c>
      <c r="V20" s="16">
        <f>100*N20*4/J20</f>
        <v>18.94736842105263</v>
      </c>
      <c r="W20" s="29">
        <f>100*Q20/I20</f>
        <v>13.333333333333334</v>
      </c>
      <c r="X20" s="44">
        <f>E20/I20</f>
        <v>0.9333333333333333</v>
      </c>
      <c r="Y20" s="9">
        <f>X20*P20</f>
        <v>3.7333333333333334</v>
      </c>
      <c r="Z20" s="9">
        <f>X20*K20</f>
        <v>14</v>
      </c>
      <c r="AA20" s="9">
        <f>X20*N20</f>
        <v>8.4</v>
      </c>
      <c r="AB20" s="9">
        <f>Q20*X20</f>
        <v>3.7333333333333334</v>
      </c>
      <c r="AC20">
        <f>X20*M20</f>
        <v>0</v>
      </c>
      <c r="AD20" s="2">
        <f>L20*X20</f>
        <v>3.7333333333333334</v>
      </c>
      <c r="AE20" s="9" t="s">
        <v>1593</v>
      </c>
      <c r="AF20" s="1"/>
    </row>
    <row r="21" spans="1:31" ht="13.5" thickBot="1">
      <c r="A21" s="9"/>
      <c r="B21" s="9">
        <f>J21*X21</f>
        <v>2152.258064516129</v>
      </c>
      <c r="C21" s="9"/>
      <c r="D21" s="12"/>
      <c r="E21" s="12">
        <v>278</v>
      </c>
      <c r="F21" s="2">
        <f>E21/28.349523</f>
        <v>9.806161465221125</v>
      </c>
      <c r="G21" s="2">
        <f>F21/16</f>
        <v>0.6128850915763203</v>
      </c>
      <c r="H21" s="11" t="s">
        <v>539</v>
      </c>
      <c r="I21" s="9">
        <v>31</v>
      </c>
      <c r="J21">
        <v>240</v>
      </c>
      <c r="K21">
        <v>23</v>
      </c>
      <c r="L21" s="10">
        <v>3.5</v>
      </c>
      <c r="M21">
        <v>0</v>
      </c>
      <c r="N21">
        <v>4</v>
      </c>
      <c r="O21">
        <v>1</v>
      </c>
      <c r="P21">
        <v>2</v>
      </c>
      <c r="Q21">
        <v>2</v>
      </c>
      <c r="R21" s="32">
        <f>J21/I21</f>
        <v>7.741935483870968</v>
      </c>
      <c r="S21" s="42">
        <f>100*4*P21/J21</f>
        <v>3.3333333333333335</v>
      </c>
      <c r="T21" s="29">
        <f>100*9*K21/J21</f>
        <v>86.25</v>
      </c>
      <c r="U21" s="16">
        <f>100*(L21*9)/J21</f>
        <v>13.125</v>
      </c>
      <c r="V21" s="16">
        <f>100*N21*4/J21</f>
        <v>6.666666666666667</v>
      </c>
      <c r="W21" s="9">
        <f>100*Q21/I21</f>
        <v>6.451612903225806</v>
      </c>
      <c r="X21" s="44">
        <f>E21/I21</f>
        <v>8.96774193548387</v>
      </c>
      <c r="Y21" s="9">
        <f>X21*P21</f>
        <v>17.93548387096774</v>
      </c>
      <c r="Z21" s="9">
        <f>X21*K21</f>
        <v>206.25806451612902</v>
      </c>
      <c r="AA21" s="9">
        <f>X21*N21</f>
        <v>35.87096774193548</v>
      </c>
      <c r="AB21" s="9">
        <f>Q21*X21</f>
        <v>17.93548387096774</v>
      </c>
      <c r="AC21">
        <f>X21*M21</f>
        <v>0</v>
      </c>
      <c r="AD21" s="2">
        <f>L21*X21</f>
        <v>31.387096774193544</v>
      </c>
      <c r="AE21" t="s">
        <v>1594</v>
      </c>
    </row>
    <row r="22" spans="1:33" ht="12.75">
      <c r="A22" s="9">
        <f>SUM(A2:A21)</f>
        <v>9833.942016806723</v>
      </c>
      <c r="B22" s="9">
        <f>SUM(B2:B21)</f>
        <v>12840.647899159663</v>
      </c>
      <c r="C22" s="9"/>
      <c r="D22" s="9">
        <f>SUM(D2:D21)</f>
        <v>1871</v>
      </c>
      <c r="E22" s="9">
        <f>SUM(E2:E21)</f>
        <v>2433.4812676853426</v>
      </c>
      <c r="F22" s="9">
        <f>E22/28.349523</f>
        <v>85.83852601983259</v>
      </c>
      <c r="G22" s="2">
        <f>F22/16</f>
        <v>5.364907876239537</v>
      </c>
      <c r="H22" s="11" t="s">
        <v>1507</v>
      </c>
      <c r="M22" s="3"/>
      <c r="N22" s="3"/>
      <c r="O22" s="3"/>
      <c r="P22" s="9"/>
      <c r="R22" s="3"/>
      <c r="Y22" s="272">
        <f aca="true" t="shared" si="17" ref="Y22:AD22">SUM(Y2:Y17)</f>
        <v>375.97857142857146</v>
      </c>
      <c r="Z22" s="273">
        <f t="shared" si="17"/>
        <v>516.0309523809524</v>
      </c>
      <c r="AA22" s="273">
        <f t="shared" si="17"/>
        <v>910.7096638655462</v>
      </c>
      <c r="AB22" s="274">
        <f t="shared" si="17"/>
        <v>92.93571428571428</v>
      </c>
      <c r="AC22" s="273">
        <f t="shared" si="17"/>
        <v>57.5</v>
      </c>
      <c r="AD22" s="274">
        <f t="shared" si="17"/>
        <v>103.30714285714286</v>
      </c>
      <c r="AE22" s="174" t="s">
        <v>1947</v>
      </c>
      <c r="AF22" s="174"/>
      <c r="AG22" s="191"/>
    </row>
    <row r="23" spans="6:33" ht="12.75">
      <c r="F23" s="9"/>
      <c r="G23" s="2"/>
      <c r="H23" s="12"/>
      <c r="I23">
        <v>2.2</v>
      </c>
      <c r="J23" t="s">
        <v>534</v>
      </c>
      <c r="Y23" s="275">
        <f>4*Y22</f>
        <v>1503.9142857142858</v>
      </c>
      <c r="Z23" s="276">
        <f>9*Z22</f>
        <v>4644.278571428571</v>
      </c>
      <c r="AA23" s="276">
        <f>4*AA22</f>
        <v>3642.8386554621848</v>
      </c>
      <c r="AB23" s="92"/>
      <c r="AC23" s="92"/>
      <c r="AD23" s="277">
        <f>9*AD22</f>
        <v>929.7642857142857</v>
      </c>
      <c r="AE23" s="92" t="s">
        <v>938</v>
      </c>
      <c r="AF23" s="92"/>
      <c r="AG23" s="193"/>
    </row>
    <row r="24" spans="5:33" ht="12.75">
      <c r="E24" s="9"/>
      <c r="F24" s="2"/>
      <c r="G24" s="2"/>
      <c r="H24" s="11"/>
      <c r="Y24" s="196">
        <f>Y23*100/B22</f>
        <v>11.712137094053542</v>
      </c>
      <c r="Z24" s="93">
        <f>100*Z23/B22</f>
        <v>36.16856881289073</v>
      </c>
      <c r="AA24" s="93">
        <f>AA23*100/B22</f>
        <v>28.369586052589952</v>
      </c>
      <c r="AB24" s="92"/>
      <c r="AC24" s="92"/>
      <c r="AD24" s="94">
        <f>100*AD23/B22</f>
        <v>7.2407895070086985</v>
      </c>
      <c r="AE24" s="92" t="s">
        <v>1786</v>
      </c>
      <c r="AF24" s="92"/>
      <c r="AG24" s="193"/>
    </row>
    <row r="25" spans="2:33" ht="13.5" thickBot="1">
      <c r="B25" s="9">
        <f>SUM(B2:B15)</f>
        <v>9340.647899159663</v>
      </c>
      <c r="C25" s="9"/>
      <c r="D25" s="9"/>
      <c r="E25" s="9"/>
      <c r="F25" s="2"/>
      <c r="G25" s="2"/>
      <c r="H25" s="11" t="s">
        <v>1949</v>
      </c>
      <c r="N25" s="33" t="s">
        <v>1714</v>
      </c>
      <c r="Y25" s="194"/>
      <c r="Z25" s="176"/>
      <c r="AA25" s="176"/>
      <c r="AB25" s="278">
        <f>100*AB22/B22</f>
        <v>0.7237618772476139</v>
      </c>
      <c r="AC25" s="176" t="s">
        <v>1715</v>
      </c>
      <c r="AD25" s="176"/>
      <c r="AE25" s="176"/>
      <c r="AF25" s="176"/>
      <c r="AG25" s="195"/>
    </row>
    <row r="26" spans="2:15" ht="12.75">
      <c r="B26" s="93">
        <f>O30*I23</f>
        <v>8360</v>
      </c>
      <c r="C26" s="93"/>
      <c r="D26" s="93"/>
      <c r="E26" s="93"/>
      <c r="F26" s="94"/>
      <c r="G26" s="94"/>
      <c r="H26" s="126" t="s">
        <v>1946</v>
      </c>
      <c r="J26" s="144">
        <f>Y22/I23</f>
        <v>170.89935064935065</v>
      </c>
      <c r="K26" s="33" t="s">
        <v>1675</v>
      </c>
      <c r="O26" t="s">
        <v>602</v>
      </c>
    </row>
    <row r="27" spans="2:15" ht="12.75">
      <c r="B27" s="93">
        <f>B26-SUM(B2:B17)</f>
        <v>-980.6478991596632</v>
      </c>
      <c r="C27" s="93"/>
      <c r="D27" s="93"/>
      <c r="E27" s="93"/>
      <c r="F27" s="93"/>
      <c r="G27" s="92"/>
      <c r="H27" s="92" t="s">
        <v>984</v>
      </c>
      <c r="J27" s="109">
        <f>AC22/I23</f>
        <v>26.136363636363633</v>
      </c>
      <c r="K27" s="232" t="s">
        <v>939</v>
      </c>
      <c r="O27" s="6" t="s">
        <v>600</v>
      </c>
    </row>
    <row r="28" spans="2:15" ht="12.75">
      <c r="B28">
        <v>3500</v>
      </c>
      <c r="H28" s="150" t="s">
        <v>979</v>
      </c>
      <c r="J28" s="161">
        <f>AD22/I23</f>
        <v>46.95779220779221</v>
      </c>
      <c r="K28" s="33" t="s">
        <v>1677</v>
      </c>
      <c r="O28" t="s">
        <v>601</v>
      </c>
    </row>
    <row r="29" spans="2:15" ht="12.75">
      <c r="B29">
        <f>B28-SUM(B19:B21)</f>
        <v>0</v>
      </c>
      <c r="H29" s="150" t="s">
        <v>980</v>
      </c>
      <c r="J29">
        <f>AB22/I23</f>
        <v>42.24350649350649</v>
      </c>
      <c r="K29" s="33" t="s">
        <v>940</v>
      </c>
      <c r="O29" s="27" t="s">
        <v>603</v>
      </c>
    </row>
    <row r="30" spans="2:32" ht="12.75">
      <c r="B30" s="9">
        <f>B28+B26</f>
        <v>11860</v>
      </c>
      <c r="E30" s="9"/>
      <c r="F30" s="9"/>
      <c r="G30" s="2"/>
      <c r="H30" s="11" t="s">
        <v>977</v>
      </c>
      <c r="I30" s="9"/>
      <c r="J30" s="143">
        <f>B25/I23</f>
        <v>4245.749045072574</v>
      </c>
      <c r="K30" t="s">
        <v>536</v>
      </c>
      <c r="M30" s="6"/>
      <c r="N30" s="6"/>
      <c r="O30" s="143">
        <v>3800</v>
      </c>
      <c r="P30" s="6" t="s">
        <v>1323</v>
      </c>
      <c r="Q30" s="6"/>
      <c r="R30" s="2"/>
      <c r="S30" s="16"/>
      <c r="T30" s="9"/>
      <c r="U30" s="29"/>
      <c r="V30" s="93"/>
      <c r="W30" s="92"/>
      <c r="X30" s="94"/>
      <c r="Y30" s="92"/>
      <c r="Z30" s="92"/>
      <c r="AA30" s="93"/>
      <c r="AB30" s="93"/>
      <c r="AD30" s="2"/>
      <c r="AE30" s="173"/>
      <c r="AF30" s="9"/>
    </row>
    <row r="31" spans="2:32" ht="12.75">
      <c r="B31" s="9">
        <f>B30-B22</f>
        <v>-980.6478991596632</v>
      </c>
      <c r="C31" s="9"/>
      <c r="D31" s="9"/>
      <c r="E31" s="9"/>
      <c r="F31" s="9"/>
      <c r="G31" s="2"/>
      <c r="H31" s="11" t="s">
        <v>978</v>
      </c>
      <c r="I31" s="9"/>
      <c r="L31" s="10"/>
      <c r="M31" s="6"/>
      <c r="N31" s="6"/>
      <c r="O31" s="6"/>
      <c r="P31" s="6"/>
      <c r="Q31" s="6"/>
      <c r="R31" s="2"/>
      <c r="S31" s="16"/>
      <c r="T31" s="9"/>
      <c r="U31" s="42"/>
      <c r="V31" s="93"/>
      <c r="W31" s="93"/>
      <c r="X31" s="93"/>
      <c r="Y31" s="94"/>
      <c r="Z31" s="126"/>
      <c r="AA31" s="93"/>
      <c r="AB31" s="93"/>
      <c r="AD31" s="2"/>
      <c r="AE31" s="8"/>
      <c r="AF31" s="9"/>
    </row>
    <row r="32" spans="2:32" ht="12.75">
      <c r="B32" s="290">
        <f>B31/B30</f>
        <v>-0.08268532033386705</v>
      </c>
      <c r="E32" s="9"/>
      <c r="F32" s="9"/>
      <c r="G32" s="9"/>
      <c r="H32" s="11" t="s">
        <v>1749</v>
      </c>
      <c r="I32" s="9"/>
      <c r="L32" s="10"/>
      <c r="M32" s="6"/>
      <c r="N32" s="6"/>
      <c r="O32" s="6"/>
      <c r="P32" s="6"/>
      <c r="Q32" s="6"/>
      <c r="R32" s="2"/>
      <c r="S32" s="16"/>
      <c r="T32" s="9"/>
      <c r="U32" s="16"/>
      <c r="V32" s="16"/>
      <c r="W32" s="42"/>
      <c r="X32" s="60"/>
      <c r="Y32" s="9"/>
      <c r="Z32" s="9"/>
      <c r="AA32" s="9"/>
      <c r="AB32" s="9"/>
      <c r="AD32" s="2"/>
      <c r="AE32" s="9"/>
      <c r="AF32" s="9"/>
    </row>
    <row r="33" spans="5:32" ht="12.75" customHeight="1">
      <c r="E33" s="28"/>
      <c r="H33" s="12"/>
      <c r="I33" s="28"/>
      <c r="J33" s="1"/>
      <c r="K33" s="1"/>
      <c r="L33" s="1"/>
      <c r="M33" s="1"/>
      <c r="N33" s="1"/>
      <c r="O33" s="1"/>
      <c r="P33" s="1"/>
      <c r="Q33" s="1"/>
      <c r="R33" s="1"/>
      <c r="S33" s="1"/>
      <c r="T33" s="1"/>
      <c r="U33" s="1"/>
      <c r="V33" s="1"/>
      <c r="W33" s="1"/>
      <c r="X33" s="1"/>
      <c r="Y33" s="1"/>
      <c r="Z33" s="1"/>
      <c r="AA33" s="1"/>
      <c r="AB33" s="1"/>
      <c r="AC33" s="1"/>
      <c r="AD33" s="1"/>
      <c r="AE33" s="1"/>
      <c r="AF33" s="1"/>
    </row>
    <row r="34" spans="5:32" ht="12.75" customHeight="1">
      <c r="E34" s="28"/>
      <c r="H34" s="12"/>
      <c r="I34" s="28"/>
      <c r="J34" s="1"/>
      <c r="K34" s="1"/>
      <c r="L34" s="1"/>
      <c r="M34" s="1"/>
      <c r="N34" s="1"/>
      <c r="O34" s="1"/>
      <c r="P34" s="1"/>
      <c r="Q34" s="1"/>
      <c r="R34" s="1"/>
      <c r="S34" s="1"/>
      <c r="T34" s="1"/>
      <c r="U34" s="1"/>
      <c r="V34" s="1"/>
      <c r="W34" s="1"/>
      <c r="X34" s="1"/>
      <c r="Y34" s="1"/>
      <c r="Z34" s="1"/>
      <c r="AA34" s="1"/>
      <c r="AB34" s="1"/>
      <c r="AC34" s="1"/>
      <c r="AD34" s="1"/>
      <c r="AE34" s="1"/>
      <c r="AF34" s="1"/>
    </row>
    <row r="35" spans="1:32" ht="22.5">
      <c r="A35" s="293" t="s">
        <v>1038</v>
      </c>
      <c r="B35" s="9"/>
      <c r="C35" s="9"/>
      <c r="D35" s="9"/>
      <c r="F35" s="2"/>
      <c r="G35" s="2"/>
      <c r="H35" s="11"/>
      <c r="I35" s="9"/>
      <c r="L35" s="10"/>
      <c r="R35" s="2"/>
      <c r="S35" s="42"/>
      <c r="T35" s="9"/>
      <c r="U35" s="29"/>
      <c r="V35" s="29"/>
      <c r="W35" s="42"/>
      <c r="X35" s="44"/>
      <c r="Y35" s="9"/>
      <c r="Z35" s="9"/>
      <c r="AA35" s="9"/>
      <c r="AB35" s="9"/>
      <c r="AD35" s="2"/>
      <c r="AE35" s="9"/>
      <c r="AF35" s="9"/>
    </row>
    <row r="36" spans="1:41" ht="129.75" customHeight="1">
      <c r="A36" s="268" t="s">
        <v>983</v>
      </c>
      <c r="B36" s="271" t="s">
        <v>697</v>
      </c>
      <c r="C36" s="271" t="s">
        <v>534</v>
      </c>
      <c r="D36" s="271" t="s">
        <v>976</v>
      </c>
      <c r="E36" s="267" t="s">
        <v>1603</v>
      </c>
      <c r="F36" s="266" t="s">
        <v>1265</v>
      </c>
      <c r="G36" s="266" t="s">
        <v>1604</v>
      </c>
      <c r="H36" s="266" t="s">
        <v>2075</v>
      </c>
      <c r="I36" s="267" t="s">
        <v>1932</v>
      </c>
      <c r="J36" s="268" t="s">
        <v>559</v>
      </c>
      <c r="K36" s="268" t="s">
        <v>585</v>
      </c>
      <c r="L36" s="268" t="s">
        <v>584</v>
      </c>
      <c r="M36" s="268" t="s">
        <v>583</v>
      </c>
      <c r="N36" s="268" t="s">
        <v>582</v>
      </c>
      <c r="O36" s="268" t="s">
        <v>581</v>
      </c>
      <c r="P36" s="268" t="s">
        <v>580</v>
      </c>
      <c r="Q36" s="268" t="s">
        <v>579</v>
      </c>
      <c r="R36" s="279" t="s">
        <v>1950</v>
      </c>
      <c r="S36" s="268" t="s">
        <v>1798</v>
      </c>
      <c r="T36" s="268" t="s">
        <v>1797</v>
      </c>
      <c r="U36" s="268" t="s">
        <v>1785</v>
      </c>
      <c r="V36" s="268" t="s">
        <v>1820</v>
      </c>
      <c r="W36" s="268" t="s">
        <v>563</v>
      </c>
      <c r="X36" s="268" t="s">
        <v>572</v>
      </c>
      <c r="Y36" s="268" t="s">
        <v>571</v>
      </c>
      <c r="Z36" s="268" t="s">
        <v>575</v>
      </c>
      <c r="AA36" s="268" t="s">
        <v>576</v>
      </c>
      <c r="AB36" s="268" t="s">
        <v>577</v>
      </c>
      <c r="AC36" s="268" t="s">
        <v>578</v>
      </c>
      <c r="AD36" s="268" t="s">
        <v>553</v>
      </c>
      <c r="AE36" s="268"/>
      <c r="AF36" s="268"/>
      <c r="AG36" s="266"/>
      <c r="AH36" s="266"/>
      <c r="AI36" s="266"/>
      <c r="AJ36" s="266"/>
      <c r="AK36" s="266"/>
      <c r="AL36" s="266"/>
      <c r="AM36" s="266"/>
      <c r="AN36" s="266"/>
      <c r="AO36" s="266"/>
    </row>
    <row r="37" spans="1:32" ht="12.75">
      <c r="A37" s="9"/>
      <c r="B37" s="9">
        <f>J37*X37</f>
        <v>588.9285714285714</v>
      </c>
      <c r="C37" s="9">
        <v>123</v>
      </c>
      <c r="D37">
        <f>97+92+92</f>
        <v>281</v>
      </c>
      <c r="E37">
        <v>97</v>
      </c>
      <c r="F37" s="2">
        <f aca="true" t="shared" si="18" ref="F37:F48">E37/28.349523</f>
        <v>3.42157432419586</v>
      </c>
      <c r="G37" s="2">
        <f aca="true" t="shared" si="19" ref="G37:G48">F37/16</f>
        <v>0.21384839526224125</v>
      </c>
      <c r="H37" s="11" t="s">
        <v>1845</v>
      </c>
      <c r="I37" s="9">
        <v>28</v>
      </c>
      <c r="J37">
        <v>170</v>
      </c>
      <c r="K37">
        <v>13</v>
      </c>
      <c r="L37" s="2">
        <v>3</v>
      </c>
      <c r="M37">
        <v>0</v>
      </c>
      <c r="N37">
        <v>9</v>
      </c>
      <c r="O37">
        <v>2</v>
      </c>
      <c r="P37">
        <v>5</v>
      </c>
      <c r="Q37">
        <v>1</v>
      </c>
      <c r="R37" s="32">
        <f aca="true" t="shared" si="20" ref="R37:R48">J37/I37</f>
        <v>6.071428571428571</v>
      </c>
      <c r="S37" s="9">
        <f aca="true" t="shared" si="21" ref="S37:S48">100*4*P37/J37</f>
        <v>11.764705882352942</v>
      </c>
      <c r="T37" s="9">
        <f aca="true" t="shared" si="22" ref="T37:T48">100*9*K37/J37</f>
        <v>68.82352941176471</v>
      </c>
      <c r="U37" s="269">
        <f aca="true" t="shared" si="23" ref="U37:U48">100*(L37*9)/J37</f>
        <v>15.882352941176471</v>
      </c>
      <c r="V37" s="16">
        <f aca="true" t="shared" si="24" ref="V37:V48">100*N37*4/J37</f>
        <v>21.176470588235293</v>
      </c>
      <c r="W37" s="9">
        <f aca="true" t="shared" si="25" ref="W37:W48">100*Q37/I37</f>
        <v>3.5714285714285716</v>
      </c>
      <c r="X37" s="44">
        <f aca="true" t="shared" si="26" ref="X37:X48">E37/I37</f>
        <v>3.4642857142857144</v>
      </c>
      <c r="Y37" s="9">
        <f aca="true" t="shared" si="27" ref="Y37:Y48">X37*P37</f>
        <v>17.321428571428573</v>
      </c>
      <c r="Z37" s="9">
        <f aca="true" t="shared" si="28" ref="Z37:Z48">X37*K37</f>
        <v>45.035714285714285</v>
      </c>
      <c r="AA37" s="9">
        <f aca="true" t="shared" si="29" ref="AA37:AA48">X37*N37</f>
        <v>31.17857142857143</v>
      </c>
      <c r="AB37" s="9">
        <f aca="true" t="shared" si="30" ref="AB37:AB48">Q37*X37</f>
        <v>3.4642857142857144</v>
      </c>
      <c r="AC37">
        <f aca="true" t="shared" si="31" ref="AC37:AC48">X37*M37</f>
        <v>0</v>
      </c>
      <c r="AD37" s="2">
        <f aca="true" t="shared" si="32" ref="AD37:AD48">L37*X37</f>
        <v>10.392857142857142</v>
      </c>
      <c r="AE37" s="9" t="s">
        <v>528</v>
      </c>
      <c r="AF37" s="9"/>
    </row>
    <row r="38" spans="1:32" ht="12.75">
      <c r="A38" s="9"/>
      <c r="B38" s="9"/>
      <c r="C38" s="9"/>
      <c r="F38" s="2">
        <f t="shared" si="18"/>
        <v>0</v>
      </c>
      <c r="G38" s="2">
        <f t="shared" si="19"/>
        <v>0</v>
      </c>
      <c r="H38" s="11" t="s">
        <v>1321</v>
      </c>
      <c r="I38" s="9">
        <v>50</v>
      </c>
      <c r="J38">
        <v>210</v>
      </c>
      <c r="K38">
        <v>7</v>
      </c>
      <c r="L38" s="10">
        <v>4.5</v>
      </c>
      <c r="M38">
        <v>2.5</v>
      </c>
      <c r="N38">
        <v>21</v>
      </c>
      <c r="O38">
        <v>14</v>
      </c>
      <c r="P38">
        <v>15</v>
      </c>
      <c r="Q38">
        <v>1</v>
      </c>
      <c r="R38" s="2">
        <f t="shared" si="20"/>
        <v>4.2</v>
      </c>
      <c r="S38" s="16">
        <f t="shared" si="21"/>
        <v>28.571428571428573</v>
      </c>
      <c r="T38" s="9">
        <f t="shared" si="22"/>
        <v>30</v>
      </c>
      <c r="U38" s="269">
        <f t="shared" si="23"/>
        <v>19.285714285714285</v>
      </c>
      <c r="V38" s="16">
        <f t="shared" si="24"/>
        <v>40</v>
      </c>
      <c r="W38" s="42">
        <f t="shared" si="25"/>
        <v>2</v>
      </c>
      <c r="X38" s="44">
        <f t="shared" si="26"/>
        <v>0</v>
      </c>
      <c r="Y38" s="16">
        <f t="shared" si="27"/>
        <v>0</v>
      </c>
      <c r="Z38" s="9">
        <f t="shared" si="28"/>
        <v>0</v>
      </c>
      <c r="AA38" s="9">
        <f t="shared" si="29"/>
        <v>0</v>
      </c>
      <c r="AB38" s="16">
        <f t="shared" si="30"/>
        <v>0</v>
      </c>
      <c r="AC38">
        <f t="shared" si="31"/>
        <v>0</v>
      </c>
      <c r="AD38" s="2">
        <f t="shared" si="32"/>
        <v>0</v>
      </c>
      <c r="AE38" s="11" t="s">
        <v>532</v>
      </c>
      <c r="AF38" s="9"/>
    </row>
    <row r="39" spans="1:32" ht="12.75">
      <c r="A39" s="9"/>
      <c r="B39" s="9">
        <f>J39*X39</f>
        <v>140</v>
      </c>
      <c r="C39" s="9">
        <v>123</v>
      </c>
      <c r="D39">
        <f>3*35</f>
        <v>105</v>
      </c>
      <c r="E39">
        <v>35</v>
      </c>
      <c r="F39" s="2">
        <f t="shared" si="18"/>
        <v>1.2345886736789187</v>
      </c>
      <c r="G39" s="2">
        <f t="shared" si="19"/>
        <v>0.07716179210493242</v>
      </c>
      <c r="H39" s="11" t="s">
        <v>2050</v>
      </c>
      <c r="I39" s="9">
        <v>35</v>
      </c>
      <c r="J39">
        <v>140</v>
      </c>
      <c r="K39">
        <v>4</v>
      </c>
      <c r="L39" s="10">
        <v>0.5</v>
      </c>
      <c r="M39" s="6">
        <v>0</v>
      </c>
      <c r="N39" s="6">
        <v>25</v>
      </c>
      <c r="O39" s="6">
        <v>13</v>
      </c>
      <c r="P39" s="6">
        <v>3</v>
      </c>
      <c r="Q39" s="6">
        <v>1</v>
      </c>
      <c r="R39" s="2">
        <f t="shared" si="20"/>
        <v>4</v>
      </c>
      <c r="S39" s="16">
        <f t="shared" si="21"/>
        <v>8.571428571428571</v>
      </c>
      <c r="T39" s="9">
        <f t="shared" si="22"/>
        <v>25.714285714285715</v>
      </c>
      <c r="U39" s="29">
        <f t="shared" si="23"/>
        <v>3.2142857142857144</v>
      </c>
      <c r="V39" s="16">
        <f t="shared" si="24"/>
        <v>71.42857142857143</v>
      </c>
      <c r="W39" s="9">
        <f t="shared" si="25"/>
        <v>2.857142857142857</v>
      </c>
      <c r="X39" s="44">
        <f t="shared" si="26"/>
        <v>1</v>
      </c>
      <c r="Y39" s="16">
        <f t="shared" si="27"/>
        <v>3</v>
      </c>
      <c r="Z39" s="9">
        <f t="shared" si="28"/>
        <v>4</v>
      </c>
      <c r="AA39" s="9">
        <f t="shared" si="29"/>
        <v>25</v>
      </c>
      <c r="AB39" s="9">
        <f t="shared" si="30"/>
        <v>1</v>
      </c>
      <c r="AC39">
        <f t="shared" si="31"/>
        <v>0</v>
      </c>
      <c r="AD39" s="2">
        <f t="shared" si="32"/>
        <v>0.5</v>
      </c>
      <c r="AE39" s="9" t="s">
        <v>1823</v>
      </c>
      <c r="AF39" s="9"/>
    </row>
    <row r="40" spans="1:32" ht="12.75">
      <c r="A40" s="9"/>
      <c r="B40" s="9"/>
      <c r="C40" s="9"/>
      <c r="D40" s="6"/>
      <c r="E40" s="6"/>
      <c r="F40" s="2">
        <f t="shared" si="18"/>
        <v>0</v>
      </c>
      <c r="G40" s="2">
        <f t="shared" si="19"/>
        <v>0</v>
      </c>
      <c r="H40" s="11" t="s">
        <v>517</v>
      </c>
      <c r="I40" s="9">
        <v>50</v>
      </c>
      <c r="J40">
        <v>210</v>
      </c>
      <c r="K40">
        <v>7</v>
      </c>
      <c r="L40" s="10">
        <v>2.5</v>
      </c>
      <c r="M40" s="6">
        <v>0</v>
      </c>
      <c r="N40" s="6">
        <v>23</v>
      </c>
      <c r="O40" s="6">
        <v>16</v>
      </c>
      <c r="P40" s="6">
        <v>15</v>
      </c>
      <c r="Q40" s="6">
        <v>2</v>
      </c>
      <c r="R40" s="2">
        <f t="shared" si="20"/>
        <v>4.2</v>
      </c>
      <c r="S40" s="16">
        <f t="shared" si="21"/>
        <v>28.571428571428573</v>
      </c>
      <c r="T40" s="9">
        <f t="shared" si="22"/>
        <v>30</v>
      </c>
      <c r="U40" s="16">
        <f t="shared" si="23"/>
        <v>10.714285714285714</v>
      </c>
      <c r="V40" s="16">
        <f t="shared" si="24"/>
        <v>43.80952380952381</v>
      </c>
      <c r="W40" s="42">
        <f t="shared" si="25"/>
        <v>4</v>
      </c>
      <c r="X40" s="44">
        <f t="shared" si="26"/>
        <v>0</v>
      </c>
      <c r="Y40" s="9">
        <f t="shared" si="27"/>
        <v>0</v>
      </c>
      <c r="Z40" s="9">
        <f t="shared" si="28"/>
        <v>0</v>
      </c>
      <c r="AA40" s="9">
        <f t="shared" si="29"/>
        <v>0</v>
      </c>
      <c r="AB40" s="9">
        <f t="shared" si="30"/>
        <v>0</v>
      </c>
      <c r="AC40">
        <f t="shared" si="31"/>
        <v>0</v>
      </c>
      <c r="AD40" s="2">
        <f t="shared" si="32"/>
        <v>0</v>
      </c>
      <c r="AE40" s="9" t="s">
        <v>1468</v>
      </c>
      <c r="AF40" s="9"/>
    </row>
    <row r="41" spans="1:32" ht="12.75">
      <c r="A41" s="9"/>
      <c r="B41" s="9">
        <f>J41*X41</f>
        <v>1082.3333333333333</v>
      </c>
      <c r="C41" s="9">
        <v>123</v>
      </c>
      <c r="D41">
        <v>270</v>
      </c>
      <c r="E41">
        <f>53+49+89</f>
        <v>191</v>
      </c>
      <c r="F41" s="2">
        <f t="shared" si="18"/>
        <v>6.737326762076385</v>
      </c>
      <c r="G41" s="2">
        <f t="shared" si="19"/>
        <v>0.42108292262977404</v>
      </c>
      <c r="H41" s="11" t="s">
        <v>604</v>
      </c>
      <c r="I41" s="9">
        <v>30</v>
      </c>
      <c r="J41">
        <v>170</v>
      </c>
      <c r="K41">
        <v>15</v>
      </c>
      <c r="L41" s="10">
        <v>1</v>
      </c>
      <c r="M41">
        <v>0</v>
      </c>
      <c r="N41">
        <v>5</v>
      </c>
      <c r="O41">
        <v>1</v>
      </c>
      <c r="P41">
        <v>7</v>
      </c>
      <c r="Q41">
        <v>4</v>
      </c>
      <c r="R41" s="2">
        <f t="shared" si="20"/>
        <v>5.666666666666667</v>
      </c>
      <c r="S41" s="9">
        <f t="shared" si="21"/>
        <v>16.470588235294116</v>
      </c>
      <c r="T41" s="29">
        <f t="shared" si="22"/>
        <v>79.41176470588235</v>
      </c>
      <c r="U41" s="270">
        <f t="shared" si="23"/>
        <v>5.294117647058823</v>
      </c>
      <c r="V41" s="16">
        <f t="shared" si="24"/>
        <v>11.764705882352942</v>
      </c>
      <c r="W41" s="29">
        <f t="shared" si="25"/>
        <v>13.333333333333334</v>
      </c>
      <c r="X41" s="44">
        <f t="shared" si="26"/>
        <v>6.366666666666666</v>
      </c>
      <c r="Y41" s="9">
        <f t="shared" si="27"/>
        <v>44.56666666666666</v>
      </c>
      <c r="Z41" s="9">
        <f t="shared" si="28"/>
        <v>95.5</v>
      </c>
      <c r="AA41" s="9">
        <f t="shared" si="29"/>
        <v>31.833333333333332</v>
      </c>
      <c r="AB41" s="9">
        <f t="shared" si="30"/>
        <v>25.466666666666665</v>
      </c>
      <c r="AC41">
        <f t="shared" si="31"/>
        <v>0</v>
      </c>
      <c r="AD41" s="2">
        <f t="shared" si="32"/>
        <v>6.366666666666666</v>
      </c>
      <c r="AE41" s="9" t="s">
        <v>527</v>
      </c>
      <c r="AF41" s="9"/>
    </row>
    <row r="42" spans="1:32" ht="12.75">
      <c r="A42" s="9"/>
      <c r="B42" s="9"/>
      <c r="C42" s="9"/>
      <c r="F42" s="2">
        <f t="shared" si="18"/>
        <v>0</v>
      </c>
      <c r="G42" s="2">
        <f t="shared" si="19"/>
        <v>0</v>
      </c>
      <c r="H42" s="11" t="s">
        <v>253</v>
      </c>
      <c r="I42" s="9">
        <v>22</v>
      </c>
      <c r="J42">
        <v>90</v>
      </c>
      <c r="K42">
        <v>2</v>
      </c>
      <c r="L42" s="10">
        <v>0.5</v>
      </c>
      <c r="M42">
        <v>0</v>
      </c>
      <c r="N42">
        <v>18</v>
      </c>
      <c r="O42">
        <v>8</v>
      </c>
      <c r="P42">
        <v>1</v>
      </c>
      <c r="Q42">
        <v>0</v>
      </c>
      <c r="R42" s="2">
        <f t="shared" si="20"/>
        <v>4.090909090909091</v>
      </c>
      <c r="S42" s="42">
        <f t="shared" si="21"/>
        <v>4.444444444444445</v>
      </c>
      <c r="T42" s="9">
        <f t="shared" si="22"/>
        <v>20</v>
      </c>
      <c r="U42" s="29">
        <f t="shared" si="23"/>
        <v>5</v>
      </c>
      <c r="V42" s="29">
        <f t="shared" si="24"/>
        <v>80</v>
      </c>
      <c r="W42" s="42">
        <f t="shared" si="25"/>
        <v>0</v>
      </c>
      <c r="X42" s="44">
        <f t="shared" si="26"/>
        <v>0</v>
      </c>
      <c r="Y42" s="9">
        <f t="shared" si="27"/>
        <v>0</v>
      </c>
      <c r="Z42" s="9">
        <f t="shared" si="28"/>
        <v>0</v>
      </c>
      <c r="AA42" s="9">
        <f t="shared" si="29"/>
        <v>0</v>
      </c>
      <c r="AB42" s="9">
        <f t="shared" si="30"/>
        <v>0</v>
      </c>
      <c r="AC42">
        <f t="shared" si="31"/>
        <v>0</v>
      </c>
      <c r="AD42" s="2">
        <f t="shared" si="32"/>
        <v>0</v>
      </c>
      <c r="AE42" s="9" t="s">
        <v>1591</v>
      </c>
      <c r="AF42" s="9"/>
    </row>
    <row r="43" spans="1:32" ht="12.75">
      <c r="A43" s="9"/>
      <c r="B43" s="9">
        <f>J43*X43</f>
        <v>852</v>
      </c>
      <c r="C43" s="9">
        <v>123</v>
      </c>
      <c r="D43">
        <f>100+90+94</f>
        <v>284</v>
      </c>
      <c r="E43">
        <v>142</v>
      </c>
      <c r="F43" s="2">
        <f t="shared" si="18"/>
        <v>5.008902618925898</v>
      </c>
      <c r="G43" s="2">
        <f t="shared" si="19"/>
        <v>0.31305641368286863</v>
      </c>
      <c r="H43" s="11" t="s">
        <v>564</v>
      </c>
      <c r="I43" s="9">
        <v>30</v>
      </c>
      <c r="J43">
        <v>180</v>
      </c>
      <c r="K43">
        <v>13</v>
      </c>
      <c r="L43" s="10">
        <v>1.5</v>
      </c>
      <c r="M43">
        <v>0</v>
      </c>
      <c r="N43">
        <v>9</v>
      </c>
      <c r="O43">
        <v>2</v>
      </c>
      <c r="P43">
        <v>6</v>
      </c>
      <c r="Q43">
        <v>3</v>
      </c>
      <c r="R43" s="32">
        <f t="shared" si="20"/>
        <v>6</v>
      </c>
      <c r="S43" s="9">
        <f t="shared" si="21"/>
        <v>13.333333333333334</v>
      </c>
      <c r="T43" s="16">
        <f t="shared" si="22"/>
        <v>65</v>
      </c>
      <c r="U43" s="16">
        <f t="shared" si="23"/>
        <v>7.5</v>
      </c>
      <c r="V43" s="16">
        <f t="shared" si="24"/>
        <v>20</v>
      </c>
      <c r="W43" s="29">
        <f t="shared" si="25"/>
        <v>10</v>
      </c>
      <c r="X43" s="44">
        <f t="shared" si="26"/>
        <v>4.733333333333333</v>
      </c>
      <c r="Y43" s="9">
        <f t="shared" si="27"/>
        <v>28.4</v>
      </c>
      <c r="Z43" s="9">
        <f t="shared" si="28"/>
        <v>61.53333333333333</v>
      </c>
      <c r="AA43" s="9">
        <f t="shared" si="29"/>
        <v>42.6</v>
      </c>
      <c r="AB43" s="9">
        <f t="shared" si="30"/>
        <v>14.2</v>
      </c>
      <c r="AC43" s="9">
        <f t="shared" si="31"/>
        <v>0</v>
      </c>
      <c r="AD43" s="2">
        <f t="shared" si="32"/>
        <v>7.1</v>
      </c>
      <c r="AE43" s="9" t="s">
        <v>570</v>
      </c>
      <c r="AF43" s="9"/>
    </row>
    <row r="44" spans="1:32" ht="13.5" thickBot="1">
      <c r="A44" s="9"/>
      <c r="B44" s="9"/>
      <c r="C44" s="9"/>
      <c r="D44" s="9"/>
      <c r="F44" s="2">
        <f t="shared" si="18"/>
        <v>0</v>
      </c>
      <c r="G44" s="2">
        <f t="shared" si="19"/>
        <v>0</v>
      </c>
      <c r="H44" s="11" t="s">
        <v>606</v>
      </c>
      <c r="I44">
        <v>56</v>
      </c>
      <c r="J44">
        <v>220</v>
      </c>
      <c r="K44">
        <v>6</v>
      </c>
      <c r="L44" s="10">
        <v>4</v>
      </c>
      <c r="M44">
        <v>2.5</v>
      </c>
      <c r="N44">
        <v>34</v>
      </c>
      <c r="O44">
        <v>13</v>
      </c>
      <c r="P44">
        <v>8</v>
      </c>
      <c r="Q44">
        <v>2</v>
      </c>
      <c r="R44" s="2">
        <f t="shared" si="20"/>
        <v>3.9285714285714284</v>
      </c>
      <c r="S44" s="16">
        <f t="shared" si="21"/>
        <v>14.545454545454545</v>
      </c>
      <c r="T44" s="9">
        <f t="shared" si="22"/>
        <v>24.545454545454547</v>
      </c>
      <c r="U44" s="42">
        <f t="shared" si="23"/>
        <v>16.363636363636363</v>
      </c>
      <c r="V44" s="16">
        <f t="shared" si="24"/>
        <v>61.81818181818182</v>
      </c>
      <c r="W44" s="16">
        <f t="shared" si="25"/>
        <v>3.5714285714285716</v>
      </c>
      <c r="X44" s="44">
        <f t="shared" si="26"/>
        <v>0</v>
      </c>
      <c r="Y44" s="16">
        <f t="shared" si="27"/>
        <v>0</v>
      </c>
      <c r="Z44" s="9">
        <f t="shared" si="28"/>
        <v>0</v>
      </c>
      <c r="AA44" s="9">
        <f t="shared" si="29"/>
        <v>0</v>
      </c>
      <c r="AB44" s="16">
        <f t="shared" si="30"/>
        <v>0</v>
      </c>
      <c r="AC44">
        <f t="shared" si="31"/>
        <v>0</v>
      </c>
      <c r="AD44" s="2">
        <f t="shared" si="32"/>
        <v>0</v>
      </c>
      <c r="AE44" s="9"/>
      <c r="AF44" s="9"/>
    </row>
    <row r="45" spans="1:32" ht="12.75">
      <c r="A45" s="286"/>
      <c r="B45" s="274"/>
      <c r="C45" s="274"/>
      <c r="D45" s="174"/>
      <c r="E45" s="191"/>
      <c r="F45" s="2">
        <f t="shared" si="18"/>
        <v>0</v>
      </c>
      <c r="G45" s="2">
        <f t="shared" si="19"/>
        <v>0</v>
      </c>
      <c r="H45" s="11" t="s">
        <v>871</v>
      </c>
      <c r="I45" s="9">
        <v>17</v>
      </c>
      <c r="J45">
        <v>64.1</v>
      </c>
      <c r="K45">
        <v>0</v>
      </c>
      <c r="L45" s="10">
        <v>0</v>
      </c>
      <c r="M45" s="6">
        <v>0</v>
      </c>
      <c r="N45" s="6">
        <v>15.9</v>
      </c>
      <c r="O45" s="6">
        <v>16</v>
      </c>
      <c r="P45" s="6">
        <v>0</v>
      </c>
      <c r="Q45" s="6">
        <v>0</v>
      </c>
      <c r="R45" s="2">
        <f t="shared" si="20"/>
        <v>3.770588235294117</v>
      </c>
      <c r="S45" s="42">
        <f t="shared" si="21"/>
        <v>0</v>
      </c>
      <c r="T45" s="9">
        <f t="shared" si="22"/>
        <v>0</v>
      </c>
      <c r="U45" s="29">
        <f t="shared" si="23"/>
        <v>0</v>
      </c>
      <c r="V45" s="29">
        <f t="shared" si="24"/>
        <v>99.21996879875196</v>
      </c>
      <c r="W45" s="42">
        <f t="shared" si="25"/>
        <v>0</v>
      </c>
      <c r="X45" s="44">
        <f t="shared" si="26"/>
        <v>0</v>
      </c>
      <c r="Y45" s="16">
        <f t="shared" si="27"/>
        <v>0</v>
      </c>
      <c r="Z45" s="9">
        <f t="shared" si="28"/>
        <v>0</v>
      </c>
      <c r="AA45" s="9">
        <f t="shared" si="29"/>
        <v>0</v>
      </c>
      <c r="AB45" s="9">
        <f t="shared" si="30"/>
        <v>0</v>
      </c>
      <c r="AC45">
        <f t="shared" si="31"/>
        <v>0</v>
      </c>
      <c r="AD45" s="2">
        <f t="shared" si="32"/>
        <v>0</v>
      </c>
      <c r="AE45" s="9" t="s">
        <v>2062</v>
      </c>
      <c r="AF45" s="9"/>
    </row>
    <row r="46" spans="1:32" ht="13.5" thickBot="1">
      <c r="A46" s="289"/>
      <c r="B46" s="287"/>
      <c r="C46" s="287"/>
      <c r="D46" s="176"/>
      <c r="E46" s="288"/>
      <c r="F46" s="2">
        <f t="shared" si="18"/>
        <v>0</v>
      </c>
      <c r="G46" s="2">
        <f t="shared" si="19"/>
        <v>0</v>
      </c>
      <c r="H46" s="11" t="s">
        <v>870</v>
      </c>
      <c r="I46" s="9">
        <v>16</v>
      </c>
      <c r="J46">
        <v>60</v>
      </c>
      <c r="K46">
        <v>0</v>
      </c>
      <c r="L46" s="10">
        <v>0</v>
      </c>
      <c r="M46" s="6">
        <v>0</v>
      </c>
      <c r="N46" s="6">
        <v>16</v>
      </c>
      <c r="O46" s="6">
        <v>10</v>
      </c>
      <c r="P46" s="6">
        <v>0</v>
      </c>
      <c r="Q46" s="6">
        <v>0</v>
      </c>
      <c r="R46" s="2">
        <f t="shared" si="20"/>
        <v>3.75</v>
      </c>
      <c r="S46" s="42">
        <f t="shared" si="21"/>
        <v>0</v>
      </c>
      <c r="T46" s="9">
        <f t="shared" si="22"/>
        <v>0</v>
      </c>
      <c r="U46" s="29">
        <f t="shared" si="23"/>
        <v>0</v>
      </c>
      <c r="V46" s="29">
        <f t="shared" si="24"/>
        <v>106.66666666666667</v>
      </c>
      <c r="W46" s="42">
        <f t="shared" si="25"/>
        <v>0</v>
      </c>
      <c r="X46" s="44">
        <f t="shared" si="26"/>
        <v>0</v>
      </c>
      <c r="Y46" s="16">
        <f t="shared" si="27"/>
        <v>0</v>
      </c>
      <c r="Z46" s="9">
        <f t="shared" si="28"/>
        <v>0</v>
      </c>
      <c r="AA46" s="9">
        <f t="shared" si="29"/>
        <v>0</v>
      </c>
      <c r="AB46" s="9">
        <f t="shared" si="30"/>
        <v>0</v>
      </c>
      <c r="AC46">
        <f t="shared" si="31"/>
        <v>0</v>
      </c>
      <c r="AD46" s="2">
        <f t="shared" si="32"/>
        <v>0</v>
      </c>
      <c r="AE46" s="9" t="s">
        <v>2062</v>
      </c>
      <c r="AF46" s="9"/>
    </row>
    <row r="47" spans="1:32" ht="12.75">
      <c r="A47" s="9"/>
      <c r="B47" s="9"/>
      <c r="C47" s="9"/>
      <c r="F47" s="2">
        <f t="shared" si="18"/>
        <v>0</v>
      </c>
      <c r="G47" s="2">
        <f t="shared" si="19"/>
        <v>0</v>
      </c>
      <c r="H47" s="11" t="s">
        <v>1937</v>
      </c>
      <c r="I47" s="9">
        <v>39</v>
      </c>
      <c r="J47">
        <v>200</v>
      </c>
      <c r="K47">
        <v>10</v>
      </c>
      <c r="L47" s="10">
        <v>1.5</v>
      </c>
      <c r="M47">
        <v>0</v>
      </c>
      <c r="N47">
        <v>23</v>
      </c>
      <c r="O47">
        <v>4</v>
      </c>
      <c r="P47">
        <v>4</v>
      </c>
      <c r="Q47">
        <v>1</v>
      </c>
      <c r="R47" s="2">
        <f t="shared" si="20"/>
        <v>5.128205128205129</v>
      </c>
      <c r="S47" s="42">
        <f t="shared" si="21"/>
        <v>8</v>
      </c>
      <c r="T47" s="9">
        <f t="shared" si="22"/>
        <v>45</v>
      </c>
      <c r="U47" s="16">
        <f t="shared" si="23"/>
        <v>6.75</v>
      </c>
      <c r="V47" s="16">
        <f t="shared" si="24"/>
        <v>46</v>
      </c>
      <c r="W47" s="9">
        <f t="shared" si="25"/>
        <v>2.5641025641025643</v>
      </c>
      <c r="X47" s="44">
        <f t="shared" si="26"/>
        <v>0</v>
      </c>
      <c r="Y47" s="9">
        <f t="shared" si="27"/>
        <v>0</v>
      </c>
      <c r="Z47" s="9">
        <f t="shared" si="28"/>
        <v>0</v>
      </c>
      <c r="AA47" s="9">
        <f t="shared" si="29"/>
        <v>0</v>
      </c>
      <c r="AB47" s="9">
        <f t="shared" si="30"/>
        <v>0</v>
      </c>
      <c r="AC47">
        <f t="shared" si="31"/>
        <v>0</v>
      </c>
      <c r="AD47" s="2">
        <f t="shared" si="32"/>
        <v>0</v>
      </c>
      <c r="AE47" s="9" t="s">
        <v>1590</v>
      </c>
      <c r="AF47" s="9"/>
    </row>
    <row r="48" spans="1:32" ht="12.75">
      <c r="A48" s="9"/>
      <c r="B48" s="57"/>
      <c r="C48" s="57"/>
      <c r="D48" s="54"/>
      <c r="E48" s="54"/>
      <c r="F48" s="2">
        <f t="shared" si="18"/>
        <v>0</v>
      </c>
      <c r="G48" s="2">
        <f t="shared" si="19"/>
        <v>0</v>
      </c>
      <c r="H48" s="11" t="s">
        <v>44</v>
      </c>
      <c r="I48" s="9">
        <v>50</v>
      </c>
      <c r="J48">
        <v>190</v>
      </c>
      <c r="K48">
        <v>4.5</v>
      </c>
      <c r="L48" s="10">
        <v>3</v>
      </c>
      <c r="M48">
        <v>15</v>
      </c>
      <c r="N48">
        <v>19</v>
      </c>
      <c r="O48">
        <v>2</v>
      </c>
      <c r="P48">
        <v>20</v>
      </c>
      <c r="Q48">
        <v>0</v>
      </c>
      <c r="R48" s="2">
        <f t="shared" si="20"/>
        <v>3.8</v>
      </c>
      <c r="S48" s="29">
        <f t="shared" si="21"/>
        <v>42.10526315789474</v>
      </c>
      <c r="T48" s="9">
        <f t="shared" si="22"/>
        <v>21.31578947368421</v>
      </c>
      <c r="U48" s="16">
        <f t="shared" si="23"/>
        <v>14.210526315789474</v>
      </c>
      <c r="V48" s="16">
        <f t="shared" si="24"/>
        <v>40</v>
      </c>
      <c r="W48" s="42">
        <f t="shared" si="25"/>
        <v>0</v>
      </c>
      <c r="X48" s="44">
        <f t="shared" si="26"/>
        <v>0</v>
      </c>
      <c r="Y48" s="9">
        <f t="shared" si="27"/>
        <v>0</v>
      </c>
      <c r="Z48" s="9">
        <f t="shared" si="28"/>
        <v>0</v>
      </c>
      <c r="AA48" s="9">
        <f t="shared" si="29"/>
        <v>0</v>
      </c>
      <c r="AB48" s="9">
        <f t="shared" si="30"/>
        <v>0</v>
      </c>
      <c r="AC48">
        <f t="shared" si="31"/>
        <v>0</v>
      </c>
      <c r="AD48" s="2">
        <f t="shared" si="32"/>
        <v>0</v>
      </c>
      <c r="AE48" s="9" t="s">
        <v>1468</v>
      </c>
      <c r="AF48" s="9"/>
    </row>
    <row r="49" spans="1:31" ht="12.75">
      <c r="A49" s="9"/>
      <c r="B49" s="57"/>
      <c r="C49" s="54"/>
      <c r="D49" s="54"/>
      <c r="E49" s="54"/>
      <c r="F49" s="2">
        <f>E49/28.349523</f>
        <v>0</v>
      </c>
      <c r="G49" s="2">
        <f>F49/16</f>
        <v>0</v>
      </c>
      <c r="H49" s="11" t="s">
        <v>1713</v>
      </c>
      <c r="I49">
        <v>28</v>
      </c>
      <c r="J49">
        <v>110</v>
      </c>
      <c r="K49">
        <v>3</v>
      </c>
      <c r="L49" s="10">
        <v>2.5</v>
      </c>
      <c r="M49">
        <v>0</v>
      </c>
      <c r="N49">
        <v>16</v>
      </c>
      <c r="O49">
        <v>10</v>
      </c>
      <c r="P49">
        <v>5</v>
      </c>
      <c r="Q49">
        <v>1</v>
      </c>
      <c r="R49" s="2">
        <f>J49/I49</f>
        <v>3.9285714285714284</v>
      </c>
      <c r="S49" s="16">
        <f>100*4*P49/J49</f>
        <v>18.181818181818183</v>
      </c>
      <c r="T49" s="9">
        <f>100*9*K49/J49</f>
        <v>24.545454545454547</v>
      </c>
      <c r="U49" s="42">
        <f>100*(L49*9)/J49</f>
        <v>20.454545454545453</v>
      </c>
      <c r="V49" s="16">
        <f>100*N49*4/J49</f>
        <v>58.18181818181818</v>
      </c>
      <c r="W49" s="16">
        <f>100*Q49/I49</f>
        <v>3.5714285714285716</v>
      </c>
      <c r="X49" s="44">
        <f>E49/I49</f>
        <v>0</v>
      </c>
      <c r="Y49" s="16">
        <f>X49*P49</f>
        <v>0</v>
      </c>
      <c r="Z49" s="9">
        <f>X49*K49</f>
        <v>0</v>
      </c>
      <c r="AA49" s="9">
        <f>X49*N49</f>
        <v>0</v>
      </c>
      <c r="AB49" s="16">
        <f>Q49*X49</f>
        <v>0</v>
      </c>
      <c r="AC49">
        <f>X49*M49</f>
        <v>0</v>
      </c>
      <c r="AD49" s="2">
        <f>L49*X49</f>
        <v>0</v>
      </c>
      <c r="AE49" s="233" t="s">
        <v>533</v>
      </c>
    </row>
    <row r="50" spans="1:32" ht="12.75">
      <c r="A50" s="9"/>
      <c r="B50" s="9"/>
      <c r="C50" s="9"/>
      <c r="F50" s="2">
        <f>E50/28.349523</f>
        <v>0</v>
      </c>
      <c r="G50" s="2">
        <f>F50/16</f>
        <v>0</v>
      </c>
      <c r="H50" s="11" t="s">
        <v>1372</v>
      </c>
      <c r="I50" s="9">
        <v>50</v>
      </c>
      <c r="J50">
        <v>210</v>
      </c>
      <c r="K50">
        <v>7</v>
      </c>
      <c r="L50" s="10">
        <v>4</v>
      </c>
      <c r="M50">
        <v>2.5</v>
      </c>
      <c r="N50">
        <v>23</v>
      </c>
      <c r="O50">
        <v>15</v>
      </c>
      <c r="P50">
        <v>15</v>
      </c>
      <c r="Q50" s="9">
        <v>0.5</v>
      </c>
      <c r="R50" s="2">
        <f>J50/I50</f>
        <v>4.2</v>
      </c>
      <c r="S50" s="29">
        <f>100*4*P50/J50</f>
        <v>28.571428571428573</v>
      </c>
      <c r="T50" s="9">
        <f>100*9*K50/J50</f>
        <v>30</v>
      </c>
      <c r="U50" s="42">
        <f>100*(L50*9)/J50</f>
        <v>17.142857142857142</v>
      </c>
      <c r="V50" s="16">
        <f>100*N50*4/J50</f>
        <v>43.80952380952381</v>
      </c>
      <c r="W50" s="42">
        <f>100*Q50/I50</f>
        <v>1</v>
      </c>
      <c r="X50" s="44">
        <f>E50/I50</f>
        <v>0</v>
      </c>
      <c r="Y50" s="16">
        <f>X50*P50</f>
        <v>0</v>
      </c>
      <c r="Z50" s="9">
        <f>X50*K50</f>
        <v>0</v>
      </c>
      <c r="AA50" s="9">
        <f>X50*N50</f>
        <v>0</v>
      </c>
      <c r="AB50" s="16">
        <f>Q50*X50</f>
        <v>0</v>
      </c>
      <c r="AC50">
        <f>X50*M50</f>
        <v>0</v>
      </c>
      <c r="AD50" s="2">
        <f>L50*X50</f>
        <v>0</v>
      </c>
      <c r="AE50" s="11" t="s">
        <v>532</v>
      </c>
      <c r="AF50" s="9"/>
    </row>
    <row r="51" ht="12.75">
      <c r="A51" s="9"/>
    </row>
    <row r="52" spans="1:32" ht="12.75" customHeight="1">
      <c r="A52" s="9"/>
      <c r="D52" s="28"/>
      <c r="E52" s="28"/>
      <c r="H52" s="12"/>
      <c r="I52" s="28"/>
      <c r="J52" s="1"/>
      <c r="K52" s="1"/>
      <c r="L52" s="1"/>
      <c r="M52" s="1"/>
      <c r="N52" s="1"/>
      <c r="O52" s="1"/>
      <c r="P52" s="1"/>
      <c r="Q52" s="1"/>
      <c r="R52" s="1"/>
      <c r="S52" s="1"/>
      <c r="T52" s="1"/>
      <c r="U52" s="1"/>
      <c r="V52" s="1"/>
      <c r="W52" s="1"/>
      <c r="X52" s="1"/>
      <c r="Y52" s="1"/>
      <c r="Z52" s="1"/>
      <c r="AA52" s="1"/>
      <c r="AB52" s="1"/>
      <c r="AC52" s="1"/>
      <c r="AD52" s="1"/>
      <c r="AE52" s="1"/>
      <c r="AF52" s="1"/>
    </row>
    <row r="53" spans="1:32" ht="12.75" customHeight="1">
      <c r="A53" s="9"/>
      <c r="D53" s="28"/>
      <c r="E53" s="28"/>
      <c r="H53" s="12" t="s">
        <v>1948</v>
      </c>
      <c r="I53" s="28"/>
      <c r="J53" s="1"/>
      <c r="K53" s="1"/>
      <c r="L53" s="1"/>
      <c r="M53" s="1"/>
      <c r="N53" s="1"/>
      <c r="O53" s="1"/>
      <c r="P53" s="1"/>
      <c r="Q53" s="1"/>
      <c r="R53" s="1"/>
      <c r="S53" s="1"/>
      <c r="T53" s="1"/>
      <c r="U53" s="1"/>
      <c r="V53" s="1"/>
      <c r="W53" s="1"/>
      <c r="X53" s="1"/>
      <c r="Y53" s="1"/>
      <c r="Z53" s="1"/>
      <c r="AA53" s="1"/>
      <c r="AB53" s="1"/>
      <c r="AC53" s="1"/>
      <c r="AD53" s="1"/>
      <c r="AE53" s="1"/>
      <c r="AF53" s="1"/>
    </row>
    <row r="54" spans="1:32" ht="12.75" customHeight="1">
      <c r="A54" s="9"/>
      <c r="B54" s="9">
        <f>J54*X54</f>
        <v>1173.9285714285716</v>
      </c>
      <c r="D54" s="28"/>
      <c r="E54" s="9">
        <v>173</v>
      </c>
      <c r="F54" s="2">
        <f>E54/28.349523</f>
        <v>6.102395444184369</v>
      </c>
      <c r="G54" s="2">
        <f>F54/16</f>
        <v>0.38139971526152305</v>
      </c>
      <c r="H54" s="11" t="s">
        <v>1293</v>
      </c>
      <c r="I54" s="9">
        <v>28</v>
      </c>
      <c r="J54">
        <v>190</v>
      </c>
      <c r="K54">
        <v>19</v>
      </c>
      <c r="L54" s="10">
        <v>1.5</v>
      </c>
      <c r="M54">
        <v>0</v>
      </c>
      <c r="N54">
        <v>5</v>
      </c>
      <c r="O54">
        <v>1</v>
      </c>
      <c r="P54">
        <v>2</v>
      </c>
      <c r="Q54">
        <v>2</v>
      </c>
      <c r="R54" s="32">
        <f>J54/I54</f>
        <v>6.785714285714286</v>
      </c>
      <c r="S54" s="42">
        <f>100*4*P54/J54</f>
        <v>4.2105263157894735</v>
      </c>
      <c r="T54" s="29">
        <f>100*9*K54/J54</f>
        <v>90</v>
      </c>
      <c r="U54" s="16">
        <f>100*(L54*9)/J54</f>
        <v>7.105263157894737</v>
      </c>
      <c r="V54" s="16">
        <f>100*N54*4/J54</f>
        <v>10.526315789473685</v>
      </c>
      <c r="W54" s="9">
        <f>100*Q54/I54</f>
        <v>7.142857142857143</v>
      </c>
      <c r="X54" s="44">
        <f>E54/I54</f>
        <v>6.178571428571429</v>
      </c>
      <c r="Y54" s="9">
        <f>X54*P54</f>
        <v>12.357142857142858</v>
      </c>
      <c r="Z54" s="9">
        <f>X54*K54</f>
        <v>117.39285714285715</v>
      </c>
      <c r="AA54" s="9">
        <f>X54*N54</f>
        <v>30.892857142857146</v>
      </c>
      <c r="AB54" s="9">
        <f>Q54*X54</f>
        <v>12.357142857142858</v>
      </c>
      <c r="AC54">
        <f>X54*M54</f>
        <v>0</v>
      </c>
      <c r="AD54" s="2">
        <f>L54*X54</f>
        <v>9.267857142857142</v>
      </c>
      <c r="AE54" s="9" t="s">
        <v>1595</v>
      </c>
      <c r="AF54" s="1"/>
    </row>
    <row r="55" spans="1:32" ht="12.75" customHeight="1">
      <c r="A55" s="9"/>
      <c r="B55" s="9">
        <f>J55*X55</f>
        <v>183.66666666666666</v>
      </c>
      <c r="D55" s="28"/>
      <c r="E55">
        <v>29</v>
      </c>
      <c r="F55" s="2">
        <f>E55/28.349523</f>
        <v>1.0229449010482468</v>
      </c>
      <c r="G55" s="2">
        <f>F55/16</f>
        <v>0.06393405631551542</v>
      </c>
      <c r="H55" s="11" t="s">
        <v>1848</v>
      </c>
      <c r="I55" s="9">
        <v>30</v>
      </c>
      <c r="J55">
        <v>190</v>
      </c>
      <c r="K55">
        <v>15</v>
      </c>
      <c r="L55" s="10">
        <v>4</v>
      </c>
      <c r="M55">
        <v>0</v>
      </c>
      <c r="N55">
        <v>9</v>
      </c>
      <c r="O55">
        <v>1</v>
      </c>
      <c r="P55">
        <v>4</v>
      </c>
      <c r="Q55">
        <v>4</v>
      </c>
      <c r="R55" s="32">
        <f>J55/I55</f>
        <v>6.333333333333333</v>
      </c>
      <c r="S55" s="42">
        <f>100*4*P55/J55</f>
        <v>8.421052631578947</v>
      </c>
      <c r="T55" s="29">
        <f>100*9*K55/J55</f>
        <v>71.05263157894737</v>
      </c>
      <c r="U55" s="42">
        <f>100*(L55*9)/J55</f>
        <v>18.94736842105263</v>
      </c>
      <c r="V55" s="16">
        <f>100*N55*4/J55</f>
        <v>18.94736842105263</v>
      </c>
      <c r="W55" s="29">
        <f>100*Q55/I55</f>
        <v>13.333333333333334</v>
      </c>
      <c r="X55" s="44">
        <f>E55/I55</f>
        <v>0.9666666666666667</v>
      </c>
      <c r="Y55" s="9">
        <f>X55*P55</f>
        <v>3.8666666666666667</v>
      </c>
      <c r="Z55" s="9">
        <f>X55*K55</f>
        <v>14.5</v>
      </c>
      <c r="AA55" s="9">
        <f>X55*N55</f>
        <v>8.7</v>
      </c>
      <c r="AB55" s="9">
        <f>Q55*X55</f>
        <v>3.8666666666666667</v>
      </c>
      <c r="AC55">
        <f>X55*M55</f>
        <v>0</v>
      </c>
      <c r="AD55" s="2">
        <f>L55*X55</f>
        <v>3.8666666666666667</v>
      </c>
      <c r="AE55" s="9" t="s">
        <v>1593</v>
      </c>
      <c r="AF55" s="1"/>
    </row>
    <row r="56" spans="1:31" ht="13.5" thickBot="1">
      <c r="A56" s="9"/>
      <c r="B56" s="9">
        <f>J56*X56</f>
        <v>2152.258064516129</v>
      </c>
      <c r="C56" s="9"/>
      <c r="D56" s="12"/>
      <c r="E56" s="12">
        <v>278</v>
      </c>
      <c r="F56" s="2">
        <f>E56/28.349523</f>
        <v>9.806161465221125</v>
      </c>
      <c r="G56" s="2">
        <f>F56/16</f>
        <v>0.6128850915763203</v>
      </c>
      <c r="H56" s="11" t="s">
        <v>539</v>
      </c>
      <c r="I56" s="9">
        <v>31</v>
      </c>
      <c r="J56">
        <v>240</v>
      </c>
      <c r="K56">
        <v>23</v>
      </c>
      <c r="L56" s="10">
        <v>3.5</v>
      </c>
      <c r="M56">
        <v>0</v>
      </c>
      <c r="N56">
        <v>4</v>
      </c>
      <c r="O56">
        <v>1</v>
      </c>
      <c r="P56">
        <v>2</v>
      </c>
      <c r="Q56">
        <v>2</v>
      </c>
      <c r="R56" s="32">
        <f>J56/I56</f>
        <v>7.741935483870968</v>
      </c>
      <c r="S56" s="42">
        <f>100*4*P56/J56</f>
        <v>3.3333333333333335</v>
      </c>
      <c r="T56" s="29">
        <f>100*9*K56/J56</f>
        <v>86.25</v>
      </c>
      <c r="U56" s="16">
        <f>100*(L56*9)/J56</f>
        <v>13.125</v>
      </c>
      <c r="V56" s="16">
        <f>100*N56*4/J56</f>
        <v>6.666666666666667</v>
      </c>
      <c r="W56" s="9">
        <f>100*Q56/I56</f>
        <v>6.451612903225806</v>
      </c>
      <c r="X56" s="44">
        <f>E56/I56</f>
        <v>8.96774193548387</v>
      </c>
      <c r="Y56" s="9">
        <f>X56*P56</f>
        <v>17.93548387096774</v>
      </c>
      <c r="Z56" s="9">
        <f>X56*K56</f>
        <v>206.25806451612902</v>
      </c>
      <c r="AA56" s="9">
        <f>X56*N56</f>
        <v>35.87096774193548</v>
      </c>
      <c r="AB56" s="9">
        <f>Q56*X56</f>
        <v>17.93548387096774</v>
      </c>
      <c r="AC56">
        <f>X56*M56</f>
        <v>0</v>
      </c>
      <c r="AD56" s="2">
        <f>L56*X56</f>
        <v>31.387096774193544</v>
      </c>
      <c r="AE56" t="s">
        <v>1594</v>
      </c>
    </row>
    <row r="57" spans="1:33" ht="12.75">
      <c r="A57" s="9"/>
      <c r="B57" s="9">
        <f>SUM(B37:B56)</f>
        <v>6173.115207373272</v>
      </c>
      <c r="C57" s="9"/>
      <c r="D57" s="9"/>
      <c r="E57" s="9">
        <f>SUM(E37:E56)</f>
        <v>945</v>
      </c>
      <c r="F57" s="9">
        <f>E57/28.349523</f>
        <v>33.333894189330806</v>
      </c>
      <c r="G57" s="2">
        <f>F57/16</f>
        <v>2.0833683868331754</v>
      </c>
      <c r="H57" s="11" t="s">
        <v>1507</v>
      </c>
      <c r="M57" s="3"/>
      <c r="N57" s="3"/>
      <c r="O57" s="3"/>
      <c r="P57" s="9"/>
      <c r="R57" s="3"/>
      <c r="Y57" s="272">
        <f aca="true" t="shared" si="33" ref="Y57:AD57">SUM(Y37:Y52)</f>
        <v>93.28809523809522</v>
      </c>
      <c r="Z57" s="273">
        <f t="shared" si="33"/>
        <v>206.0690476190476</v>
      </c>
      <c r="AA57" s="273">
        <f t="shared" si="33"/>
        <v>130.61190476190475</v>
      </c>
      <c r="AB57" s="274">
        <f t="shared" si="33"/>
        <v>44.13095238095238</v>
      </c>
      <c r="AC57" s="273">
        <f t="shared" si="33"/>
        <v>0</v>
      </c>
      <c r="AD57" s="274">
        <f t="shared" si="33"/>
        <v>24.359523809523807</v>
      </c>
      <c r="AE57" s="174" t="s">
        <v>1947</v>
      </c>
      <c r="AF57" s="174"/>
      <c r="AG57" s="191"/>
    </row>
    <row r="58" spans="6:33" ht="12.75">
      <c r="F58" s="9"/>
      <c r="G58" s="2"/>
      <c r="H58" s="12"/>
      <c r="I58">
        <v>2.2</v>
      </c>
      <c r="J58" t="s">
        <v>534</v>
      </c>
      <c r="Y58" s="275">
        <f>4*Y57</f>
        <v>373.1523809523809</v>
      </c>
      <c r="Z58" s="276">
        <f>9*Z57</f>
        <v>1854.6214285714284</v>
      </c>
      <c r="AA58" s="276">
        <f>4*AA57</f>
        <v>522.447619047619</v>
      </c>
      <c r="AB58" s="92"/>
      <c r="AC58" s="92"/>
      <c r="AD58" s="277">
        <f>9*AD57</f>
        <v>219.23571428571427</v>
      </c>
      <c r="AE58" s="92" t="s">
        <v>938</v>
      </c>
      <c r="AF58" s="92"/>
      <c r="AG58" s="193"/>
    </row>
    <row r="59" spans="5:33" ht="12.75">
      <c r="E59" s="9"/>
      <c r="F59" s="2"/>
      <c r="G59" s="2"/>
      <c r="H59" s="11"/>
      <c r="Y59" s="196">
        <f>Y58*100/B57</f>
        <v>6.0447985889957385</v>
      </c>
      <c r="Z59" s="93">
        <f>100*Z58/B57</f>
        <v>30.04352529102709</v>
      </c>
      <c r="AA59" s="93">
        <f>AA58*100/B57</f>
        <v>8.463273428359134</v>
      </c>
      <c r="AB59" s="92"/>
      <c r="AC59" s="92"/>
      <c r="AD59" s="94">
        <f>100*AD58/B57</f>
        <v>3.551459950461567</v>
      </c>
      <c r="AE59" s="92" t="s">
        <v>1786</v>
      </c>
      <c r="AF59" s="92"/>
      <c r="AG59" s="193"/>
    </row>
    <row r="60" spans="2:33" ht="13.5" thickBot="1">
      <c r="B60" s="9">
        <f>SUM(B37:B50)</f>
        <v>2663.2619047619046</v>
      </c>
      <c r="C60" s="9"/>
      <c r="D60" s="9"/>
      <c r="E60" s="9"/>
      <c r="F60" s="2"/>
      <c r="G60" s="2"/>
      <c r="H60" s="11" t="s">
        <v>1949</v>
      </c>
      <c r="N60" s="33" t="s">
        <v>1714</v>
      </c>
      <c r="Y60" s="194"/>
      <c r="Z60" s="176"/>
      <c r="AA60" s="176"/>
      <c r="AB60" s="278">
        <f>100*AB57/B57</f>
        <v>0.7148894990367526</v>
      </c>
      <c r="AC60" s="176" t="s">
        <v>1715</v>
      </c>
      <c r="AD60" s="176"/>
      <c r="AE60" s="176"/>
      <c r="AF60" s="176"/>
      <c r="AG60" s="195"/>
    </row>
    <row r="61" spans="2:15" ht="12.75">
      <c r="B61" s="93">
        <f>O65*I58</f>
        <v>8360</v>
      </c>
      <c r="C61" s="93"/>
      <c r="D61" s="93"/>
      <c r="E61" s="93"/>
      <c r="F61" s="94"/>
      <c r="G61" s="94"/>
      <c r="H61" s="126" t="s">
        <v>1946</v>
      </c>
      <c r="J61" s="144">
        <f>Y57/I58</f>
        <v>42.403679653679646</v>
      </c>
      <c r="K61" s="33" t="s">
        <v>1675</v>
      </c>
      <c r="O61" t="s">
        <v>602</v>
      </c>
    </row>
    <row r="62" spans="2:15" ht="12.75">
      <c r="B62" s="93">
        <f>B61-SUM(B37:B52)</f>
        <v>5696.738095238095</v>
      </c>
      <c r="C62" s="93"/>
      <c r="D62" s="93"/>
      <c r="E62" s="93"/>
      <c r="F62" s="93"/>
      <c r="G62" s="92"/>
      <c r="H62" s="92" t="s">
        <v>984</v>
      </c>
      <c r="J62" s="109">
        <f>AC57/I58</f>
        <v>0</v>
      </c>
      <c r="K62" s="232" t="s">
        <v>939</v>
      </c>
      <c r="O62" s="6" t="s">
        <v>600</v>
      </c>
    </row>
    <row r="63" spans="2:15" ht="12.75">
      <c r="B63">
        <v>3500</v>
      </c>
      <c r="H63" s="150" t="s">
        <v>979</v>
      </c>
      <c r="J63" s="161">
        <f>AD57/I58</f>
        <v>11.07251082251082</v>
      </c>
      <c r="K63" s="33" t="s">
        <v>1677</v>
      </c>
      <c r="O63" t="s">
        <v>601</v>
      </c>
    </row>
    <row r="64" spans="2:15" ht="12.75">
      <c r="B64">
        <f>B63-SUM(B54:B56)</f>
        <v>-9.853302611367326</v>
      </c>
      <c r="H64" s="150" t="s">
        <v>980</v>
      </c>
      <c r="J64">
        <f>AB57/I58</f>
        <v>20.059523809523807</v>
      </c>
      <c r="K64" s="33" t="s">
        <v>940</v>
      </c>
      <c r="O64" s="27" t="s">
        <v>603</v>
      </c>
    </row>
    <row r="65" spans="2:32" ht="12.75">
      <c r="B65" s="9">
        <f>B63+B61</f>
        <v>11860</v>
      </c>
      <c r="E65" s="9"/>
      <c r="F65" s="9"/>
      <c r="G65" s="2"/>
      <c r="H65" s="11" t="s">
        <v>977</v>
      </c>
      <c r="I65" s="9"/>
      <c r="J65" s="143">
        <f>B60/I58</f>
        <v>1210.573593073593</v>
      </c>
      <c r="K65" t="s">
        <v>536</v>
      </c>
      <c r="M65" s="6"/>
      <c r="N65" s="6"/>
      <c r="O65" s="143">
        <v>3800</v>
      </c>
      <c r="P65" s="6" t="s">
        <v>1323</v>
      </c>
      <c r="Q65" s="6"/>
      <c r="R65" s="2"/>
      <c r="S65" s="16"/>
      <c r="T65" s="9"/>
      <c r="U65" s="29"/>
      <c r="V65" s="93"/>
      <c r="W65" s="92"/>
      <c r="X65" s="94"/>
      <c r="Y65" s="92"/>
      <c r="Z65" s="92"/>
      <c r="AA65" s="93"/>
      <c r="AB65" s="93"/>
      <c r="AD65" s="2"/>
      <c r="AE65" s="173"/>
      <c r="AF65" s="9"/>
    </row>
    <row r="66" spans="2:32" ht="12.75">
      <c r="B66" s="9">
        <f>B65-B57</f>
        <v>5686.884792626728</v>
      </c>
      <c r="C66" s="9"/>
      <c r="D66" s="9"/>
      <c r="E66" s="9"/>
      <c r="F66" s="9"/>
      <c r="G66" s="2"/>
      <c r="H66" s="11" t="s">
        <v>978</v>
      </c>
      <c r="I66" s="9"/>
      <c r="L66" s="10"/>
      <c r="M66" s="6"/>
      <c r="N66" s="6"/>
      <c r="O66" s="6"/>
      <c r="P66" s="6"/>
      <c r="Q66" s="6"/>
      <c r="R66" s="2"/>
      <c r="S66" s="16"/>
      <c r="T66" s="9"/>
      <c r="U66" s="42"/>
      <c r="V66" s="93"/>
      <c r="W66" s="93"/>
      <c r="X66" s="93"/>
      <c r="Y66" s="94"/>
      <c r="Z66" s="126"/>
      <c r="AA66" s="93"/>
      <c r="AB66" s="93"/>
      <c r="AD66" s="2"/>
      <c r="AE66" s="8"/>
      <c r="AF66" s="9"/>
    </row>
    <row r="67" spans="2:32" ht="12.75">
      <c r="B67" s="290">
        <f>B66/B65</f>
        <v>0.4795012472703818</v>
      </c>
      <c r="E67" s="9"/>
      <c r="F67" s="9"/>
      <c r="G67" s="9"/>
      <c r="H67" s="11" t="s">
        <v>1749</v>
      </c>
      <c r="I67" s="9"/>
      <c r="L67" s="10"/>
      <c r="M67" s="6"/>
      <c r="N67" s="6"/>
      <c r="O67" s="6"/>
      <c r="P67" s="6"/>
      <c r="Q67" s="6"/>
      <c r="R67" s="2"/>
      <c r="S67" s="16"/>
      <c r="T67" s="9"/>
      <c r="U67" s="16"/>
      <c r="V67" s="16"/>
      <c r="W67" s="42"/>
      <c r="X67" s="60"/>
      <c r="Y67" s="9"/>
      <c r="Z67" s="9"/>
      <c r="AA67" s="9"/>
      <c r="AB67" s="9"/>
      <c r="AD67" s="2"/>
      <c r="AE67" s="9"/>
      <c r="AF67" s="9"/>
    </row>
    <row r="68" spans="2:32" ht="12.75">
      <c r="B68" s="9"/>
      <c r="C68" s="9"/>
      <c r="D68" s="9"/>
      <c r="F68" s="2"/>
      <c r="G68" s="2"/>
      <c r="H68" s="11"/>
      <c r="L68" s="10"/>
      <c r="R68" s="2"/>
      <c r="T68" s="9"/>
      <c r="U68" s="16"/>
      <c r="V68" s="16"/>
      <c r="W68" s="16"/>
      <c r="X68" s="60"/>
      <c r="Y68" s="16"/>
      <c r="Z68" s="9"/>
      <c r="AA68" s="9"/>
      <c r="AB68" s="16"/>
      <c r="AD68" s="2"/>
      <c r="AE68" s="10"/>
      <c r="AF68" s="9"/>
    </row>
    <row r="69" spans="2:32" ht="12.75">
      <c r="B69" s="9">
        <f>B22</f>
        <v>12840.647899159663</v>
      </c>
      <c r="C69" s="9"/>
      <c r="D69" s="9"/>
      <c r="F69" s="2"/>
      <c r="G69" s="2"/>
      <c r="H69" s="11" t="s">
        <v>1098</v>
      </c>
      <c r="I69" s="9"/>
      <c r="L69" s="10"/>
      <c r="R69" s="2"/>
      <c r="T69" s="9"/>
      <c r="U69" s="29"/>
      <c r="V69" s="16"/>
      <c r="W69" s="29"/>
      <c r="X69" s="60"/>
      <c r="Y69" s="16"/>
      <c r="Z69" s="9"/>
      <c r="AA69" s="9"/>
      <c r="AB69" s="16"/>
      <c r="AD69" s="2"/>
      <c r="AE69" s="32"/>
      <c r="AF69" s="9"/>
    </row>
    <row r="70" spans="2:32" ht="12.75">
      <c r="B70" s="9">
        <f>B57</f>
        <v>6173.115207373272</v>
      </c>
      <c r="C70" s="9"/>
      <c r="D70" s="9"/>
      <c r="F70" s="2"/>
      <c r="G70" s="2"/>
      <c r="H70" s="11" t="s">
        <v>1099</v>
      </c>
      <c r="I70" s="9"/>
      <c r="L70" s="10"/>
      <c r="R70" s="2"/>
      <c r="S70" s="29"/>
      <c r="T70" s="9"/>
      <c r="U70" s="29"/>
      <c r="V70" s="16"/>
      <c r="W70" s="16"/>
      <c r="X70" s="60"/>
      <c r="Y70" s="16"/>
      <c r="Z70" s="9"/>
      <c r="AA70" s="9"/>
      <c r="AB70" s="16"/>
      <c r="AD70" s="2"/>
      <c r="AE70" s="11"/>
      <c r="AF70" s="9"/>
    </row>
    <row r="71" spans="2:32" ht="12.75">
      <c r="B71" s="9">
        <f>B69-B70</f>
        <v>6667.532691786391</v>
      </c>
      <c r="C71" s="9"/>
      <c r="D71" s="9"/>
      <c r="F71" s="2"/>
      <c r="G71" s="2"/>
      <c r="H71" s="11" t="s">
        <v>1100</v>
      </c>
      <c r="I71" s="9"/>
      <c r="L71" s="10"/>
      <c r="R71" s="2"/>
      <c r="S71" s="29"/>
      <c r="T71" s="9"/>
      <c r="U71" s="16"/>
      <c r="V71" s="16"/>
      <c r="W71" s="16"/>
      <c r="X71" s="60"/>
      <c r="Y71" s="16"/>
      <c r="Z71" s="9"/>
      <c r="AA71" s="9"/>
      <c r="AB71" s="16"/>
      <c r="AD71" s="2"/>
      <c r="AE71" s="11"/>
      <c r="AF71" s="9"/>
    </row>
    <row r="72" spans="2:32" ht="12.75">
      <c r="B72" s="9">
        <f>B71/I58</f>
        <v>3030.696678084723</v>
      </c>
      <c r="C72" s="9"/>
      <c r="D72" s="9"/>
      <c r="E72" s="6"/>
      <c r="F72" s="2"/>
      <c r="G72" s="2"/>
      <c r="H72" s="11" t="s">
        <v>1101</v>
      </c>
      <c r="I72" s="9"/>
      <c r="L72" s="6"/>
      <c r="R72" s="2"/>
      <c r="S72" s="42"/>
      <c r="T72" s="9"/>
      <c r="U72" s="16"/>
      <c r="V72" s="29"/>
      <c r="W72" s="42"/>
      <c r="X72" s="60"/>
      <c r="Y72" s="9"/>
      <c r="Z72" s="9"/>
      <c r="AA72" s="9"/>
      <c r="AB72" s="16"/>
      <c r="AD72" s="2"/>
      <c r="AE72" s="9"/>
      <c r="AF72" s="9"/>
    </row>
    <row r="73" spans="2:32" ht="12.75">
      <c r="B73" s="9"/>
      <c r="C73" s="9"/>
      <c r="D73" s="9"/>
      <c r="F73" s="2"/>
      <c r="G73" s="2"/>
      <c r="H73" s="11"/>
      <c r="I73" s="9"/>
      <c r="L73" s="10"/>
      <c r="R73" s="2"/>
      <c r="S73" s="42"/>
      <c r="T73" s="9"/>
      <c r="U73" s="42"/>
      <c r="V73" s="29"/>
      <c r="W73" s="42"/>
      <c r="X73" s="60"/>
      <c r="Y73" s="9"/>
      <c r="Z73" s="9"/>
      <c r="AA73" s="9"/>
      <c r="AB73" s="9"/>
      <c r="AD73" s="2"/>
      <c r="AE73" s="9"/>
      <c r="AF73" s="9"/>
    </row>
    <row r="74" spans="2:32" ht="12.75">
      <c r="B74" s="9"/>
      <c r="C74" s="9"/>
      <c r="D74" s="9"/>
      <c r="F74" s="2"/>
      <c r="G74" s="2"/>
      <c r="H74" s="11"/>
      <c r="I74" s="9"/>
      <c r="L74" s="10"/>
      <c r="R74" s="2"/>
      <c r="S74" s="29"/>
      <c r="T74" s="9"/>
      <c r="U74" s="29"/>
      <c r="V74" s="16"/>
      <c r="W74" s="9"/>
      <c r="X74" s="60"/>
      <c r="Y74" s="16"/>
      <c r="Z74" s="9"/>
      <c r="AA74" s="9"/>
      <c r="AB74" s="16"/>
      <c r="AD74" s="2"/>
      <c r="AE74" s="11"/>
      <c r="AF74" s="9"/>
    </row>
    <row r="75" spans="2:32" ht="12.75">
      <c r="B75" s="9"/>
      <c r="C75" s="9"/>
      <c r="D75" s="9"/>
      <c r="F75" s="2"/>
      <c r="G75" s="2"/>
      <c r="H75" s="11"/>
      <c r="I75" s="9"/>
      <c r="L75" s="10"/>
      <c r="R75" s="2"/>
      <c r="S75" s="16"/>
      <c r="T75" s="9"/>
      <c r="U75" s="29"/>
      <c r="V75" s="16"/>
      <c r="W75" s="9"/>
      <c r="X75" s="60"/>
      <c r="Y75" s="16"/>
      <c r="Z75" s="9"/>
      <c r="AA75" s="9"/>
      <c r="AB75" s="16"/>
      <c r="AD75" s="2"/>
      <c r="AE75" s="11"/>
      <c r="AF75" s="9"/>
    </row>
    <row r="76" spans="2:32" ht="12.75">
      <c r="B76" s="9"/>
      <c r="C76" s="9"/>
      <c r="D76" s="9"/>
      <c r="F76" s="2"/>
      <c r="G76" s="2"/>
      <c r="H76" s="11"/>
      <c r="I76" s="9"/>
      <c r="L76" s="10"/>
      <c r="R76" s="2"/>
      <c r="S76" s="29"/>
      <c r="T76" s="9"/>
      <c r="U76" s="16"/>
      <c r="V76" s="16"/>
      <c r="W76" s="9"/>
      <c r="X76" s="60"/>
      <c r="Y76" s="9"/>
      <c r="Z76" s="9"/>
      <c r="AA76" s="9"/>
      <c r="AB76" s="9"/>
      <c r="AD76" s="2"/>
      <c r="AE76" s="9"/>
      <c r="AF76" s="9"/>
    </row>
    <row r="77" spans="2:32" ht="12.75">
      <c r="B77" s="9"/>
      <c r="C77" s="9"/>
      <c r="D77" s="9"/>
      <c r="F77" s="2"/>
      <c r="G77" s="2"/>
      <c r="H77" s="11"/>
      <c r="I77" s="9"/>
      <c r="L77" s="10"/>
      <c r="R77" s="2"/>
      <c r="S77" s="29"/>
      <c r="T77" s="9"/>
      <c r="U77" s="16"/>
      <c r="V77" s="16"/>
      <c r="W77" s="29"/>
      <c r="X77" s="60"/>
      <c r="Y77" s="9"/>
      <c r="Z77" s="9"/>
      <c r="AA77" s="9"/>
      <c r="AB77" s="9"/>
      <c r="AD77" s="2"/>
      <c r="AE77" s="9"/>
      <c r="AF77" s="9"/>
    </row>
    <row r="78" spans="2:32" ht="12.75">
      <c r="B78" s="9"/>
      <c r="C78" s="9"/>
      <c r="D78" s="9"/>
      <c r="F78" s="2"/>
      <c r="G78" s="2"/>
      <c r="H78" s="11"/>
      <c r="I78" s="9"/>
      <c r="L78" s="10"/>
      <c r="R78" s="2"/>
      <c r="S78" s="42"/>
      <c r="T78" s="9"/>
      <c r="U78" s="16"/>
      <c r="V78" s="16"/>
      <c r="W78" s="9"/>
      <c r="X78" s="60"/>
      <c r="Y78" s="9"/>
      <c r="Z78" s="9"/>
      <c r="AA78" s="9"/>
      <c r="AB78" s="9"/>
      <c r="AD78" s="2"/>
      <c r="AE78" s="9"/>
      <c r="AF78" s="9"/>
    </row>
    <row r="79" spans="2:32" ht="12.75">
      <c r="B79" s="9"/>
      <c r="C79" s="9"/>
      <c r="D79" s="9"/>
      <c r="F79" s="2"/>
      <c r="G79" s="2"/>
      <c r="H79" s="11"/>
      <c r="I79" s="9"/>
      <c r="L79" s="10"/>
      <c r="R79" s="2"/>
      <c r="S79" s="42"/>
      <c r="T79" s="9"/>
      <c r="U79" s="16"/>
      <c r="V79" s="16"/>
      <c r="W79" s="9"/>
      <c r="X79" s="60"/>
      <c r="Y79" s="9"/>
      <c r="Z79" s="9"/>
      <c r="AA79" s="9"/>
      <c r="AB79" s="9"/>
      <c r="AD79" s="2"/>
      <c r="AE79" s="9"/>
      <c r="AF79" s="9"/>
    </row>
    <row r="80" spans="2:32" ht="12.75">
      <c r="B80" s="9"/>
      <c r="C80" s="9"/>
      <c r="D80" s="9"/>
      <c r="F80" s="2"/>
      <c r="G80" s="2"/>
      <c r="H80" s="11"/>
      <c r="I80" s="9"/>
      <c r="J80" s="33"/>
      <c r="L80" s="44"/>
      <c r="R80" s="2"/>
      <c r="S80" s="42"/>
      <c r="T80" s="29"/>
      <c r="U80" s="29"/>
      <c r="V80" s="16"/>
      <c r="W80" s="9"/>
      <c r="X80" s="60"/>
      <c r="Y80" s="9"/>
      <c r="Z80" s="9"/>
      <c r="AA80" s="9"/>
      <c r="AB80" s="9"/>
      <c r="AD80" s="2"/>
      <c r="AF80" s="9"/>
    </row>
    <row r="81" spans="2:32" ht="12.75">
      <c r="B81" s="9"/>
      <c r="C81" s="9"/>
      <c r="D81" s="9"/>
      <c r="F81" s="2"/>
      <c r="G81" s="2"/>
      <c r="H81" s="11"/>
      <c r="I81" s="9"/>
      <c r="J81" s="33"/>
      <c r="L81" s="10"/>
      <c r="R81" s="2"/>
      <c r="S81" s="42"/>
      <c r="T81" s="9"/>
      <c r="U81" s="29"/>
      <c r="V81" s="16"/>
      <c r="W81" s="9"/>
      <c r="X81" s="60"/>
      <c r="Y81" s="9"/>
      <c r="Z81" s="9"/>
      <c r="AA81" s="9"/>
      <c r="AB81" s="9"/>
      <c r="AD81" s="2"/>
      <c r="AF81" s="9"/>
    </row>
    <row r="82" spans="2:32" ht="12.75">
      <c r="B82" s="9"/>
      <c r="C82" s="9"/>
      <c r="D82" s="9"/>
      <c r="F82" s="2"/>
      <c r="G82" s="2"/>
      <c r="H82" s="11"/>
      <c r="I82" s="9"/>
      <c r="L82" s="10"/>
      <c r="R82" s="2"/>
      <c r="S82" s="42"/>
      <c r="T82" s="9"/>
      <c r="U82" s="29"/>
      <c r="V82" s="16"/>
      <c r="W82" s="42"/>
      <c r="X82" s="60"/>
      <c r="Y82" s="9"/>
      <c r="Z82" s="9"/>
      <c r="AA82" s="9"/>
      <c r="AB82" s="9"/>
      <c r="AD82" s="2"/>
      <c r="AF82" s="9"/>
    </row>
    <row r="83" spans="2:32" ht="12.75">
      <c r="B83" s="9"/>
      <c r="C83" s="9"/>
      <c r="D83" s="9"/>
      <c r="F83" s="2"/>
      <c r="G83" s="2"/>
      <c r="H83" s="11"/>
      <c r="I83" s="9"/>
      <c r="L83" s="16"/>
      <c r="R83" s="32"/>
      <c r="S83" s="42"/>
      <c r="T83" s="9"/>
      <c r="U83" s="29"/>
      <c r="V83" s="16"/>
      <c r="W83" s="42"/>
      <c r="X83" s="60"/>
      <c r="Y83" s="9"/>
      <c r="Z83" s="9"/>
      <c r="AA83" s="9"/>
      <c r="AB83" s="9"/>
      <c r="AD83" s="2"/>
      <c r="AF83" s="9"/>
    </row>
    <row r="84" spans="2:32" ht="12.75">
      <c r="B84" s="9"/>
      <c r="C84" s="9"/>
      <c r="D84" s="9"/>
      <c r="F84" s="2"/>
      <c r="G84" s="2"/>
      <c r="H84" s="11"/>
      <c r="I84" s="9"/>
      <c r="L84" s="10"/>
      <c r="R84" s="2"/>
      <c r="S84" s="42"/>
      <c r="T84" s="9"/>
      <c r="U84" s="29"/>
      <c r="V84" s="16"/>
      <c r="W84" s="42"/>
      <c r="X84" s="60"/>
      <c r="Y84" s="9"/>
      <c r="Z84" s="9"/>
      <c r="AA84" s="9"/>
      <c r="AB84" s="9"/>
      <c r="AD84" s="2"/>
      <c r="AF84" s="9"/>
    </row>
    <row r="85" spans="2:32" ht="12.75">
      <c r="B85" s="9"/>
      <c r="C85" s="9"/>
      <c r="D85" s="9"/>
      <c r="F85" s="2"/>
      <c r="G85" s="2"/>
      <c r="H85" s="11"/>
      <c r="I85" s="9"/>
      <c r="L85" s="44"/>
      <c r="R85" s="2"/>
      <c r="S85" s="42"/>
      <c r="T85" s="9"/>
      <c r="U85" s="29"/>
      <c r="V85" s="16"/>
      <c r="W85" s="9"/>
      <c r="X85" s="60"/>
      <c r="Y85" s="9"/>
      <c r="Z85" s="9"/>
      <c r="AA85" s="9"/>
      <c r="AB85" s="9"/>
      <c r="AD85" s="2"/>
      <c r="AF85" s="9"/>
    </row>
    <row r="86" spans="2:32" ht="12.75">
      <c r="B86" s="9"/>
      <c r="C86" s="9"/>
      <c r="D86" s="9"/>
      <c r="F86" s="2"/>
      <c r="G86" s="2"/>
      <c r="H86" s="11"/>
      <c r="I86" s="9"/>
      <c r="L86" s="10"/>
      <c r="R86" s="2"/>
      <c r="S86" s="9"/>
      <c r="T86" s="29"/>
      <c r="U86" s="42"/>
      <c r="V86" s="16"/>
      <c r="W86" s="29"/>
      <c r="X86" s="60"/>
      <c r="Y86" s="9"/>
      <c r="Z86" s="9"/>
      <c r="AA86" s="9"/>
      <c r="AB86" s="9"/>
      <c r="AD86" s="2"/>
      <c r="AE86" s="9"/>
      <c r="AF86" s="9"/>
    </row>
    <row r="87" spans="2:32" ht="12.75">
      <c r="B87" s="9"/>
      <c r="C87" s="9"/>
      <c r="D87" s="9"/>
      <c r="F87" s="2"/>
      <c r="G87" s="2"/>
      <c r="H87" s="11"/>
      <c r="I87" s="9"/>
      <c r="L87" s="10"/>
      <c r="R87" s="2"/>
      <c r="S87" s="9"/>
      <c r="T87" s="29"/>
      <c r="U87" s="42"/>
      <c r="V87" s="16"/>
      <c r="W87" s="29"/>
      <c r="X87" s="60"/>
      <c r="Y87" s="9"/>
      <c r="Z87" s="9"/>
      <c r="AA87" s="9"/>
      <c r="AB87" s="9"/>
      <c r="AD87" s="2"/>
      <c r="AE87" s="9"/>
      <c r="AF87" s="9"/>
    </row>
    <row r="88" spans="2:32" ht="12.75">
      <c r="B88" s="9"/>
      <c r="C88" s="9"/>
      <c r="D88" s="9"/>
      <c r="F88" s="2"/>
      <c r="G88" s="2"/>
      <c r="H88" s="11"/>
      <c r="I88" s="9"/>
      <c r="L88" s="10"/>
      <c r="R88" s="2"/>
      <c r="S88" s="9"/>
      <c r="T88" s="29"/>
      <c r="U88" s="42"/>
      <c r="V88" s="16"/>
      <c r="W88" s="29"/>
      <c r="X88" s="60"/>
      <c r="Y88" s="9"/>
      <c r="Z88" s="9"/>
      <c r="AA88" s="9"/>
      <c r="AB88" s="9"/>
      <c r="AD88" s="2"/>
      <c r="AE88" s="9"/>
      <c r="AF88" s="9"/>
    </row>
    <row r="89" spans="2:32" ht="12.75">
      <c r="B89" s="9"/>
      <c r="C89" s="9"/>
      <c r="D89" s="9"/>
      <c r="F89" s="2"/>
      <c r="G89" s="2"/>
      <c r="H89" s="11"/>
      <c r="I89" s="9"/>
      <c r="L89" s="10"/>
      <c r="R89" s="10"/>
      <c r="S89" s="9"/>
      <c r="T89" s="29"/>
      <c r="U89" s="16"/>
      <c r="V89" s="16"/>
      <c r="W89" s="16"/>
      <c r="X89" s="60"/>
      <c r="Y89" s="9"/>
      <c r="Z89" s="9"/>
      <c r="AA89" s="9"/>
      <c r="AB89" s="9"/>
      <c r="AC89" s="9"/>
      <c r="AD89" s="2"/>
      <c r="AE89" s="9"/>
      <c r="AF89" s="9"/>
    </row>
    <row r="90" spans="2:32" ht="12.75">
      <c r="B90" s="9"/>
      <c r="C90" s="9"/>
      <c r="D90" s="9"/>
      <c r="E90" s="9"/>
      <c r="F90" s="2"/>
      <c r="G90" s="2"/>
      <c r="H90" s="11"/>
      <c r="I90" s="9"/>
      <c r="L90" s="10"/>
      <c r="R90" s="10"/>
      <c r="S90" s="42"/>
      <c r="T90" s="16"/>
      <c r="U90" s="29"/>
      <c r="V90" s="16"/>
      <c r="W90" s="16"/>
      <c r="X90" s="60"/>
      <c r="Y90" s="16"/>
      <c r="Z90" s="9"/>
      <c r="AA90" s="9"/>
      <c r="AB90" s="16"/>
      <c r="AD90" s="2"/>
      <c r="AE90" s="9"/>
      <c r="AF90" s="9"/>
    </row>
    <row r="91" spans="2:32" ht="12.75">
      <c r="B91" s="9"/>
      <c r="C91" s="9"/>
      <c r="D91" s="9"/>
      <c r="E91" s="9"/>
      <c r="F91" s="2"/>
      <c r="G91" s="2"/>
      <c r="H91" s="11"/>
      <c r="I91" s="9"/>
      <c r="L91" s="10"/>
      <c r="R91" s="10"/>
      <c r="S91" s="42"/>
      <c r="T91" s="16"/>
      <c r="U91" s="29"/>
      <c r="V91" s="16"/>
      <c r="W91" s="16"/>
      <c r="X91" s="60"/>
      <c r="Y91" s="16"/>
      <c r="Z91" s="9"/>
      <c r="AA91" s="9"/>
      <c r="AB91" s="16"/>
      <c r="AD91" s="2"/>
      <c r="AE91" s="9"/>
      <c r="AF91" s="9"/>
    </row>
    <row r="92" spans="2:32" ht="12.75">
      <c r="B92" s="9"/>
      <c r="C92" s="9"/>
      <c r="D92" s="9"/>
      <c r="E92" s="9"/>
      <c r="F92" s="2"/>
      <c r="G92" s="2"/>
      <c r="H92" s="11"/>
      <c r="I92" s="9"/>
      <c r="L92" s="10"/>
      <c r="R92" s="10"/>
      <c r="S92" s="42"/>
      <c r="T92" s="16"/>
      <c r="U92" s="29"/>
      <c r="V92" s="16"/>
      <c r="W92" s="16"/>
      <c r="X92" s="60"/>
      <c r="Y92" s="16"/>
      <c r="Z92" s="9"/>
      <c r="AA92" s="9"/>
      <c r="AB92" s="16"/>
      <c r="AD92" s="2"/>
      <c r="AE92" s="9"/>
      <c r="AF92" s="9"/>
    </row>
    <row r="93" spans="2:32" ht="12.75">
      <c r="B93" s="9"/>
      <c r="C93" s="9"/>
      <c r="D93" s="9"/>
      <c r="E93" s="9"/>
      <c r="F93" s="2"/>
      <c r="G93" s="2"/>
      <c r="H93" s="11"/>
      <c r="I93" s="9"/>
      <c r="L93" s="10"/>
      <c r="R93" s="10"/>
      <c r="S93" s="42"/>
      <c r="T93" s="16"/>
      <c r="U93" s="16"/>
      <c r="V93" s="16"/>
      <c r="W93" s="16"/>
      <c r="X93" s="60"/>
      <c r="Y93" s="16"/>
      <c r="Z93" s="9"/>
      <c r="AA93" s="9"/>
      <c r="AB93" s="16"/>
      <c r="AD93" s="2"/>
      <c r="AE93" s="9"/>
      <c r="AF93" s="9"/>
    </row>
    <row r="94" spans="2:32" ht="12.75">
      <c r="B94" s="9"/>
      <c r="C94" s="9"/>
      <c r="D94" s="9"/>
      <c r="F94" s="2"/>
      <c r="G94" s="2"/>
      <c r="H94" s="11"/>
      <c r="I94" s="9"/>
      <c r="L94" s="10"/>
      <c r="R94" s="32"/>
      <c r="S94" s="9"/>
      <c r="T94" s="29"/>
      <c r="U94" s="29"/>
      <c r="V94" s="16"/>
      <c r="W94" s="9"/>
      <c r="X94" s="60"/>
      <c r="Y94" s="9"/>
      <c r="Z94" s="9"/>
      <c r="AA94" s="9"/>
      <c r="AB94" s="9"/>
      <c r="AD94" s="2"/>
      <c r="AF94" s="9"/>
    </row>
    <row r="95" spans="2:32" ht="12.75">
      <c r="B95" s="9"/>
      <c r="C95" s="9"/>
      <c r="D95" s="9"/>
      <c r="F95" s="2"/>
      <c r="G95" s="2"/>
      <c r="H95" s="11"/>
      <c r="I95" s="9"/>
      <c r="L95" s="10"/>
      <c r="R95" s="32"/>
      <c r="S95" s="42"/>
      <c r="T95" s="29"/>
      <c r="U95" s="29"/>
      <c r="V95" s="16"/>
      <c r="W95" s="29"/>
      <c r="X95" s="60"/>
      <c r="Y95" s="9"/>
      <c r="Z95" s="9"/>
      <c r="AA95" s="9"/>
      <c r="AB95" s="9"/>
      <c r="AD95" s="2"/>
      <c r="AE95" s="9"/>
      <c r="AF95" s="9"/>
    </row>
    <row r="96" spans="2:32" ht="12.75">
      <c r="B96" s="9"/>
      <c r="C96" s="9"/>
      <c r="D96" s="9"/>
      <c r="F96" s="2"/>
      <c r="G96" s="2"/>
      <c r="H96" s="11"/>
      <c r="I96" s="9"/>
      <c r="L96" s="10"/>
      <c r="R96" s="32"/>
      <c r="S96" s="42"/>
      <c r="T96" s="29"/>
      <c r="U96" s="16"/>
      <c r="V96" s="16"/>
      <c r="W96" s="9"/>
      <c r="X96" s="60"/>
      <c r="Y96" s="9"/>
      <c r="Z96" s="9"/>
      <c r="AA96" s="9"/>
      <c r="AB96" s="9"/>
      <c r="AD96" s="2"/>
      <c r="AE96" s="9"/>
      <c r="AF96" s="9"/>
    </row>
    <row r="97" spans="2:30" ht="12.75">
      <c r="B97" s="9"/>
      <c r="C97" s="9"/>
      <c r="D97" s="9"/>
      <c r="E97" s="12"/>
      <c r="F97" s="2"/>
      <c r="G97" s="2"/>
      <c r="H97" s="11"/>
      <c r="I97" s="9"/>
      <c r="L97" s="10"/>
      <c r="R97" s="32"/>
      <c r="S97" s="42"/>
      <c r="T97" s="29"/>
      <c r="U97" s="16"/>
      <c r="V97" s="16"/>
      <c r="W97" s="9"/>
      <c r="X97" s="60"/>
      <c r="Y97" s="9"/>
      <c r="Z97" s="9"/>
      <c r="AA97" s="9"/>
      <c r="AB97" s="9"/>
      <c r="AD97" s="2"/>
    </row>
    <row r="98" spans="2:30" ht="12.75">
      <c r="B98" s="9"/>
      <c r="C98" s="9"/>
      <c r="D98" s="9"/>
      <c r="E98" s="12"/>
      <c r="F98" s="2"/>
      <c r="G98" s="2"/>
      <c r="H98" s="11"/>
      <c r="I98" s="9"/>
      <c r="L98" s="10"/>
      <c r="R98" s="32"/>
      <c r="S98" s="42"/>
      <c r="T98" s="29"/>
      <c r="U98" s="16"/>
      <c r="V98" s="16"/>
      <c r="W98" s="9"/>
      <c r="X98" s="60"/>
      <c r="Y98" s="9"/>
      <c r="Z98" s="9"/>
      <c r="AA98" s="9"/>
      <c r="AB98" s="9"/>
      <c r="AD98" s="2"/>
    </row>
    <row r="99" spans="2:32" ht="12.75">
      <c r="B99" s="9"/>
      <c r="C99" s="9"/>
      <c r="D99" s="9"/>
      <c r="F99" s="2"/>
      <c r="G99" s="2"/>
      <c r="H99" s="11"/>
      <c r="I99" s="9"/>
      <c r="L99" s="10"/>
      <c r="R99" s="32"/>
      <c r="S99" s="42"/>
      <c r="T99" s="29"/>
      <c r="U99" s="16"/>
      <c r="V99" s="16"/>
      <c r="W99" s="9"/>
      <c r="X99" s="60"/>
      <c r="Y99" s="9"/>
      <c r="Z99" s="9"/>
      <c r="AA99" s="9"/>
      <c r="AB99" s="9"/>
      <c r="AD99" s="2"/>
      <c r="AE99" s="9"/>
      <c r="AF99" s="9"/>
    </row>
    <row r="100" spans="2:32" ht="12.75">
      <c r="B100" s="9"/>
      <c r="C100" s="9"/>
      <c r="D100" s="9"/>
      <c r="F100" s="2"/>
      <c r="G100" s="2"/>
      <c r="H100" s="11"/>
      <c r="I100" s="9"/>
      <c r="L100" s="10"/>
      <c r="R100" s="32"/>
      <c r="S100" s="42"/>
      <c r="T100" s="29"/>
      <c r="U100" s="16"/>
      <c r="V100" s="16"/>
      <c r="W100" s="9"/>
      <c r="X100" s="60"/>
      <c r="Y100" s="9"/>
      <c r="Z100" s="9"/>
      <c r="AA100" s="9"/>
      <c r="AB100" s="9"/>
      <c r="AD100" s="2"/>
      <c r="AE100" s="9"/>
      <c r="AF100" s="9"/>
    </row>
    <row r="101" spans="2:32" ht="12.75">
      <c r="B101" s="9"/>
      <c r="C101" s="9"/>
      <c r="D101" s="9"/>
      <c r="F101" s="2"/>
      <c r="G101" s="2"/>
      <c r="H101" s="11"/>
      <c r="I101" s="9"/>
      <c r="L101" s="10"/>
      <c r="R101" s="32"/>
      <c r="S101" s="9"/>
      <c r="T101" s="9"/>
      <c r="U101" s="16"/>
      <c r="V101" s="16"/>
      <c r="W101" s="9"/>
      <c r="X101" s="60"/>
      <c r="Y101" s="9"/>
      <c r="Z101" s="9"/>
      <c r="AA101" s="9"/>
      <c r="AB101" s="9"/>
      <c r="AC101" s="9"/>
      <c r="AD101" s="2"/>
      <c r="AE101" s="9"/>
      <c r="AF101" s="9"/>
    </row>
    <row r="102" spans="2:31" ht="12.75">
      <c r="B102" s="9"/>
      <c r="C102" s="9"/>
      <c r="D102" s="9"/>
      <c r="E102" s="12"/>
      <c r="F102" s="2"/>
      <c r="G102" s="2"/>
      <c r="H102" s="11"/>
      <c r="I102" s="9"/>
      <c r="L102" s="10"/>
      <c r="M102" s="6"/>
      <c r="N102" s="6"/>
      <c r="O102" s="6"/>
      <c r="P102" s="6"/>
      <c r="Q102" s="6"/>
      <c r="R102" s="44"/>
      <c r="S102" s="42"/>
      <c r="T102" s="42"/>
      <c r="U102" s="42"/>
      <c r="V102" s="46"/>
      <c r="W102" s="35"/>
      <c r="X102" s="60"/>
      <c r="Y102" s="35"/>
      <c r="Z102" s="35"/>
      <c r="AA102" s="35"/>
      <c r="AB102" s="35"/>
      <c r="AC102" s="34"/>
      <c r="AD102" s="44"/>
      <c r="AE102" s="9"/>
    </row>
    <row r="103" spans="18:24" ht="12.75">
      <c r="R103" s="2"/>
      <c r="X103" s="60"/>
    </row>
    <row r="104" ht="12.75">
      <c r="X104" s="60"/>
    </row>
    <row r="105" ht="12.75">
      <c r="X105" s="60"/>
    </row>
    <row r="106" spans="2:32" ht="12.75">
      <c r="B106" s="9"/>
      <c r="C106" s="9"/>
      <c r="D106" s="9"/>
      <c r="F106" s="2"/>
      <c r="G106" s="2"/>
      <c r="H106" s="11"/>
      <c r="I106" s="9"/>
      <c r="L106" s="6"/>
      <c r="M106" s="6"/>
      <c r="N106" s="6"/>
      <c r="O106" s="6"/>
      <c r="P106" s="6"/>
      <c r="Q106" s="6"/>
      <c r="R106" s="2"/>
      <c r="S106" s="29"/>
      <c r="T106" s="9"/>
      <c r="U106" s="42"/>
      <c r="V106" s="16"/>
      <c r="W106" s="9"/>
      <c r="X106" s="60"/>
      <c r="Y106" s="16"/>
      <c r="Z106" s="9"/>
      <c r="AA106" s="9"/>
      <c r="AB106" s="9"/>
      <c r="AD106" s="2"/>
      <c r="AF106" s="9"/>
    </row>
    <row r="107" spans="2:30" ht="12.75">
      <c r="B107" s="9"/>
      <c r="C107" s="9"/>
      <c r="D107" s="9"/>
      <c r="F107" s="2"/>
      <c r="G107" s="2"/>
      <c r="R107" s="2"/>
      <c r="S107" s="16"/>
      <c r="T107" s="9"/>
      <c r="U107" s="16"/>
      <c r="V107" s="29"/>
      <c r="W107" s="9"/>
      <c r="X107" s="60"/>
      <c r="Y107" s="16"/>
      <c r="Z107" s="9"/>
      <c r="AA107" s="9"/>
      <c r="AB107" s="9"/>
      <c r="AD107" s="2"/>
    </row>
    <row r="108" spans="2:30" ht="12.75">
      <c r="B108" s="9"/>
      <c r="C108" s="9"/>
      <c r="D108" s="9"/>
      <c r="F108" s="2"/>
      <c r="G108" s="2"/>
      <c r="R108" s="2"/>
      <c r="S108" s="16"/>
      <c r="T108" s="9"/>
      <c r="U108" s="29"/>
      <c r="V108" s="16"/>
      <c r="W108" s="9"/>
      <c r="X108" s="60"/>
      <c r="Y108" s="16"/>
      <c r="Z108" s="9"/>
      <c r="AA108" s="9"/>
      <c r="AB108" s="9"/>
      <c r="AD108" s="2"/>
    </row>
    <row r="112" spans="2:11" ht="12.75">
      <c r="B112" s="2"/>
      <c r="C112" s="2"/>
      <c r="D112" s="2"/>
      <c r="E112" s="11"/>
      <c r="K112" s="33"/>
    </row>
    <row r="116" ht="12.75">
      <c r="L116" s="27"/>
    </row>
  </sheetData>
  <printOptions/>
  <pageMargins left="0.75" right="0.75" top="1" bottom="1" header="0.5" footer="0.5"/>
  <pageSetup horizontalDpi="300" verticalDpi="300" orientation="portrait" r:id="rId1"/>
  <ignoredErrors>
    <ignoredError sqref="Z23 E4" formula="1"/>
  </ignoredErrors>
</worksheet>
</file>

<file path=xl/worksheets/sheet30.xml><?xml version="1.0" encoding="utf-8"?>
<worksheet xmlns="http://schemas.openxmlformats.org/spreadsheetml/2006/main" xmlns:r="http://schemas.openxmlformats.org/officeDocument/2006/relationships">
  <sheetPr>
    <pageSetUpPr fitToPage="1"/>
  </sheetPr>
  <dimension ref="A1:AC221"/>
  <sheetViews>
    <sheetView workbookViewId="0" topLeftCell="A107">
      <selection activeCell="F75" sqref="F75"/>
    </sheetView>
  </sheetViews>
  <sheetFormatPr defaultColWidth="9.140625" defaultRowHeight="12.75"/>
  <cols>
    <col min="1" max="1" width="6.28125" style="0" customWidth="1"/>
    <col min="2" max="2" width="6.140625" style="0" customWidth="1"/>
    <col min="3" max="3" width="5.57421875" style="0" customWidth="1"/>
    <col min="4" max="4" width="5.7109375" style="0" customWidth="1"/>
    <col min="5" max="5" width="21.28125" style="12" customWidth="1"/>
    <col min="6" max="6" width="4.7109375" style="0" customWidth="1"/>
    <col min="7" max="7" width="4.00390625" style="0" customWidth="1"/>
    <col min="8" max="8" width="3.8515625" style="0" customWidth="1"/>
    <col min="9" max="9" width="4.28125" style="0" customWidth="1"/>
    <col min="10" max="10" width="4.140625" style="0" customWidth="1"/>
    <col min="11" max="11" width="3.57421875" style="0" customWidth="1"/>
    <col min="12" max="12" width="3.7109375" style="0" customWidth="1"/>
    <col min="13" max="13" width="3.28125" style="0" customWidth="1"/>
    <col min="14" max="14" width="3.57421875" style="0" customWidth="1"/>
    <col min="15" max="15" width="3.7109375" style="0" customWidth="1"/>
    <col min="16" max="16" width="3.421875" style="0" customWidth="1"/>
    <col min="17" max="17" width="3.7109375" style="0" customWidth="1"/>
    <col min="18" max="18" width="2.8515625" style="0" customWidth="1"/>
    <col min="19" max="19" width="3.421875" style="0" customWidth="1"/>
    <col min="20" max="20" width="3.00390625" style="0" customWidth="1"/>
    <col min="21" max="21" width="3.7109375" style="0" customWidth="1"/>
    <col min="22" max="22" width="4.140625" style="0" customWidth="1"/>
    <col min="23" max="24" width="4.28125" style="0" customWidth="1"/>
    <col min="25" max="25" width="3.8515625" style="0" customWidth="1"/>
    <col min="26" max="26" width="3.00390625" style="0" customWidth="1"/>
    <col min="27" max="27" width="4.7109375" style="0" customWidth="1"/>
  </cols>
  <sheetData>
    <row r="1" spans="1:6" ht="12.75">
      <c r="A1" t="s">
        <v>697</v>
      </c>
      <c r="B1" t="s">
        <v>1603</v>
      </c>
      <c r="C1" t="s">
        <v>2074</v>
      </c>
      <c r="D1" t="s">
        <v>1242</v>
      </c>
      <c r="E1" s="12" t="s">
        <v>2075</v>
      </c>
      <c r="F1" s="12" t="s">
        <v>186</v>
      </c>
    </row>
    <row r="2" spans="2:3" ht="12.75">
      <c r="B2" s="9"/>
      <c r="C2" s="2"/>
    </row>
    <row r="3" spans="1:5" ht="12.75">
      <c r="A3">
        <v>0</v>
      </c>
      <c r="B3">
        <v>25</v>
      </c>
      <c r="C3" s="3">
        <f aca="true" t="shared" si="0" ref="C3:C48">B3/28.349523</f>
        <v>0.881849052627799</v>
      </c>
      <c r="D3" s="3">
        <f aca="true" t="shared" si="1" ref="D3:D48">C3/16</f>
        <v>0.05511556578923744</v>
      </c>
      <c r="E3" s="12" t="s">
        <v>1800</v>
      </c>
    </row>
    <row r="4" spans="1:5" ht="12.75">
      <c r="A4">
        <v>0</v>
      </c>
      <c r="B4" s="9">
        <v>16</v>
      </c>
      <c r="C4" s="2">
        <f t="shared" si="0"/>
        <v>0.5643833936817914</v>
      </c>
      <c r="D4" s="2">
        <f t="shared" si="1"/>
        <v>0.03527396210511196</v>
      </c>
      <c r="E4" s="12" t="s">
        <v>1047</v>
      </c>
    </row>
    <row r="5" spans="1:5" ht="12.75">
      <c r="A5">
        <v>0</v>
      </c>
      <c r="B5" s="9">
        <v>17</v>
      </c>
      <c r="C5" s="2">
        <f t="shared" si="0"/>
        <v>0.5996573557869034</v>
      </c>
      <c r="D5" s="2">
        <f t="shared" si="1"/>
        <v>0.03747858473668146</v>
      </c>
      <c r="E5" s="12" t="s">
        <v>1815</v>
      </c>
    </row>
    <row r="6" spans="1:5" ht="12.75">
      <c r="A6">
        <v>0</v>
      </c>
      <c r="B6" s="9"/>
      <c r="C6" s="2">
        <f t="shared" si="0"/>
        <v>0</v>
      </c>
      <c r="D6" s="2">
        <f t="shared" si="1"/>
        <v>0</v>
      </c>
      <c r="E6" s="12" t="s">
        <v>1687</v>
      </c>
    </row>
    <row r="7" spans="1:5" ht="12.75">
      <c r="A7">
        <v>0</v>
      </c>
      <c r="B7" s="16"/>
      <c r="C7" s="2">
        <f t="shared" si="0"/>
        <v>0</v>
      </c>
      <c r="D7" s="2">
        <f t="shared" si="1"/>
        <v>0</v>
      </c>
      <c r="E7" s="4" t="s">
        <v>222</v>
      </c>
    </row>
    <row r="8" spans="1:5" ht="12.75">
      <c r="A8">
        <v>0</v>
      </c>
      <c r="B8" s="9">
        <v>19</v>
      </c>
      <c r="C8" s="2">
        <f t="shared" si="0"/>
        <v>0.6702052799971272</v>
      </c>
      <c r="D8" s="2">
        <f t="shared" si="1"/>
        <v>0.04188782999982045</v>
      </c>
      <c r="E8" s="12" t="s">
        <v>1471</v>
      </c>
    </row>
    <row r="9" spans="1:5" ht="12.75">
      <c r="A9">
        <v>0</v>
      </c>
      <c r="B9" s="9">
        <v>814</v>
      </c>
      <c r="C9" s="2">
        <f t="shared" si="0"/>
        <v>28.713005153561138</v>
      </c>
      <c r="D9" s="2">
        <f t="shared" si="1"/>
        <v>1.7945628220975711</v>
      </c>
      <c r="E9" t="s">
        <v>1704</v>
      </c>
    </row>
    <row r="10" spans="1:5" ht="12.75">
      <c r="A10">
        <v>0</v>
      </c>
      <c r="B10" s="9">
        <v>97</v>
      </c>
      <c r="C10" s="2">
        <f t="shared" si="0"/>
        <v>3.42157432419586</v>
      </c>
      <c r="D10" s="2">
        <f t="shared" si="1"/>
        <v>0.21384839526224125</v>
      </c>
      <c r="E10" s="4" t="s">
        <v>520</v>
      </c>
    </row>
    <row r="11" spans="1:5" ht="12.75">
      <c r="A11">
        <v>0</v>
      </c>
      <c r="B11" s="9">
        <v>500</v>
      </c>
      <c r="C11" s="2">
        <f t="shared" si="0"/>
        <v>17.63698105255598</v>
      </c>
      <c r="D11" s="2">
        <f t="shared" si="1"/>
        <v>1.1023113157847488</v>
      </c>
      <c r="E11" s="4" t="s">
        <v>522</v>
      </c>
    </row>
    <row r="12" spans="1:5" ht="12.75">
      <c r="A12">
        <v>0</v>
      </c>
      <c r="B12" s="9">
        <v>537</v>
      </c>
      <c r="C12" s="2">
        <f t="shared" si="0"/>
        <v>18.942117650445123</v>
      </c>
      <c r="D12" s="2">
        <f t="shared" si="1"/>
        <v>1.1838823531528202</v>
      </c>
      <c r="E12" s="4" t="s">
        <v>521</v>
      </c>
    </row>
    <row r="13" spans="1:5" ht="12.75">
      <c r="A13">
        <v>0</v>
      </c>
      <c r="B13" s="9">
        <v>124</v>
      </c>
      <c r="C13" s="2">
        <f t="shared" si="0"/>
        <v>4.373971301033883</v>
      </c>
      <c r="D13" s="2">
        <f t="shared" si="1"/>
        <v>0.2733732063146177</v>
      </c>
      <c r="E13" s="4" t="s">
        <v>523</v>
      </c>
    </row>
    <row r="14" spans="1:5" ht="12.75">
      <c r="A14">
        <v>0</v>
      </c>
      <c r="B14" s="9">
        <v>59</v>
      </c>
      <c r="C14" s="2">
        <f t="shared" si="0"/>
        <v>2.0811637642016056</v>
      </c>
      <c r="D14" s="2">
        <f t="shared" si="1"/>
        <v>0.13007273526260035</v>
      </c>
      <c r="E14" s="4" t="s">
        <v>524</v>
      </c>
    </row>
    <row r="15" spans="1:10" ht="12.75">
      <c r="A15">
        <v>0</v>
      </c>
      <c r="B15" s="9">
        <v>100</v>
      </c>
      <c r="C15" s="2">
        <f t="shared" si="0"/>
        <v>3.527396210511196</v>
      </c>
      <c r="D15" s="2">
        <f t="shared" si="1"/>
        <v>0.22046226315694975</v>
      </c>
      <c r="E15" s="13" t="s">
        <v>525</v>
      </c>
      <c r="I15" s="47">
        <f>C11+C12+C13+C14+C15</f>
        <v>46.561629978747796</v>
      </c>
      <c r="J15" t="s">
        <v>526</v>
      </c>
    </row>
    <row r="16" spans="1:5" ht="12.75">
      <c r="A16">
        <v>0</v>
      </c>
      <c r="B16" s="9">
        <v>245</v>
      </c>
      <c r="C16" s="2">
        <f t="shared" si="0"/>
        <v>8.64212071575243</v>
      </c>
      <c r="D16" s="2">
        <f t="shared" si="1"/>
        <v>0.5401325447345269</v>
      </c>
      <c r="E16" s="4" t="s">
        <v>1799</v>
      </c>
    </row>
    <row r="17" spans="1:5" ht="12.75">
      <c r="A17">
        <v>0</v>
      </c>
      <c r="B17" s="6"/>
      <c r="C17" s="2">
        <f t="shared" si="0"/>
        <v>0</v>
      </c>
      <c r="D17" s="3">
        <f t="shared" si="1"/>
        <v>0</v>
      </c>
      <c r="E17" s="4" t="s">
        <v>1807</v>
      </c>
    </row>
    <row r="18" spans="1:5" ht="12.75">
      <c r="A18">
        <v>0</v>
      </c>
      <c r="B18" s="9">
        <v>33</v>
      </c>
      <c r="C18" s="2">
        <f t="shared" si="0"/>
        <v>1.1640407494686946</v>
      </c>
      <c r="D18" s="2">
        <f t="shared" si="1"/>
        <v>0.07275254684179341</v>
      </c>
      <c r="E18" s="12" t="s">
        <v>1528</v>
      </c>
    </row>
    <row r="19" spans="1:5" ht="12.75">
      <c r="A19">
        <v>0</v>
      </c>
      <c r="B19" s="16">
        <v>44</v>
      </c>
      <c r="C19" s="2">
        <f t="shared" si="0"/>
        <v>1.5520543326249263</v>
      </c>
      <c r="D19" s="2">
        <f t="shared" si="1"/>
        <v>0.0970033957890579</v>
      </c>
      <c r="E19" s="11" t="s">
        <v>726</v>
      </c>
    </row>
    <row r="20" spans="1:5" ht="12.75">
      <c r="A20">
        <v>0</v>
      </c>
      <c r="B20" s="9">
        <v>229</v>
      </c>
      <c r="C20" s="2">
        <f t="shared" si="0"/>
        <v>8.07773732207064</v>
      </c>
      <c r="D20" s="2">
        <f t="shared" si="1"/>
        <v>0.504858582629415</v>
      </c>
      <c r="E20" t="s">
        <v>56</v>
      </c>
    </row>
    <row r="21" spans="1:5" ht="12.75">
      <c r="A21">
        <v>0</v>
      </c>
      <c r="B21" s="9">
        <v>94</v>
      </c>
      <c r="C21" s="2">
        <f t="shared" si="0"/>
        <v>3.3157524378805245</v>
      </c>
      <c r="D21" s="2">
        <f t="shared" si="1"/>
        <v>0.20723452736753278</v>
      </c>
      <c r="E21" s="12" t="s">
        <v>1027</v>
      </c>
    </row>
    <row r="22" spans="1:5" ht="12.75">
      <c r="A22">
        <v>0</v>
      </c>
      <c r="B22" s="9">
        <v>236</v>
      </c>
      <c r="C22" s="2">
        <f t="shared" si="0"/>
        <v>8.324655056806423</v>
      </c>
      <c r="D22" s="2">
        <f t="shared" si="1"/>
        <v>0.5202909410504014</v>
      </c>
      <c r="E22" t="s">
        <v>2071</v>
      </c>
    </row>
    <row r="23" spans="2:5" ht="12.75">
      <c r="B23" s="9"/>
      <c r="C23" s="2"/>
      <c r="D23" s="2"/>
      <c r="E23"/>
    </row>
    <row r="24" spans="1:5" ht="12.75">
      <c r="A24">
        <v>0</v>
      </c>
      <c r="B24" s="9">
        <v>35</v>
      </c>
      <c r="C24" s="2">
        <f>B24/28.349523</f>
        <v>1.2345886736789187</v>
      </c>
      <c r="D24" s="2">
        <f>C24/16</f>
        <v>0.07716179210493242</v>
      </c>
      <c r="E24" t="s">
        <v>1000</v>
      </c>
    </row>
    <row r="25" spans="1:5" ht="12.75">
      <c r="A25">
        <v>0</v>
      </c>
      <c r="B25" s="9">
        <v>24</v>
      </c>
      <c r="C25" s="2">
        <f t="shared" si="0"/>
        <v>0.8465750905226871</v>
      </c>
      <c r="D25" s="2">
        <f t="shared" si="1"/>
        <v>0.05291094315766794</v>
      </c>
      <c r="E25" s="12" t="s">
        <v>320</v>
      </c>
    </row>
    <row r="26" spans="1:5" ht="12.75">
      <c r="A26">
        <v>0</v>
      </c>
      <c r="B26" s="9">
        <v>53</v>
      </c>
      <c r="C26" s="2">
        <f t="shared" si="0"/>
        <v>1.869519991570934</v>
      </c>
      <c r="D26" s="2">
        <f t="shared" si="1"/>
        <v>0.11684499947318337</v>
      </c>
      <c r="E26" s="12" t="s">
        <v>1033</v>
      </c>
    </row>
    <row r="27" spans="1:5" ht="12.75">
      <c r="A27">
        <v>0</v>
      </c>
      <c r="B27" s="9">
        <v>11</v>
      </c>
      <c r="C27" s="2">
        <f t="shared" si="0"/>
        <v>0.3880135831562316</v>
      </c>
      <c r="D27" s="2">
        <f t="shared" si="1"/>
        <v>0.024250848947264474</v>
      </c>
      <c r="E27" s="12" t="s">
        <v>1730</v>
      </c>
    </row>
    <row r="28" spans="1:5" ht="12.75">
      <c r="A28">
        <v>0</v>
      </c>
      <c r="B28" s="9">
        <v>2</v>
      </c>
      <c r="C28" s="2">
        <f t="shared" si="0"/>
        <v>0.07054792421022392</v>
      </c>
      <c r="D28" s="2">
        <f t="shared" si="1"/>
        <v>0.004409245263138995</v>
      </c>
      <c r="E28" s="12" t="s">
        <v>1470</v>
      </c>
    </row>
    <row r="29" spans="1:5" ht="12.75">
      <c r="A29">
        <v>0</v>
      </c>
      <c r="B29" s="9">
        <v>15</v>
      </c>
      <c r="C29" s="2">
        <f t="shared" si="0"/>
        <v>0.5291094315766794</v>
      </c>
      <c r="D29" s="2">
        <f t="shared" si="1"/>
        <v>0.033069339473542465</v>
      </c>
      <c r="E29" s="12" t="s">
        <v>985</v>
      </c>
    </row>
    <row r="30" spans="2:5" ht="12.75">
      <c r="B30" s="9"/>
      <c r="C30" s="2"/>
      <c r="D30" s="2"/>
      <c r="E30" s="12" t="s">
        <v>1808</v>
      </c>
    </row>
    <row r="31" spans="2:5" ht="12.75">
      <c r="B31" s="9"/>
      <c r="C31" s="2"/>
      <c r="D31" s="2"/>
      <c r="E31" s="12" t="s">
        <v>1809</v>
      </c>
    </row>
    <row r="32" spans="1:5" ht="12.75">
      <c r="A32">
        <v>0</v>
      </c>
      <c r="B32" s="9">
        <v>651</v>
      </c>
      <c r="C32" s="2">
        <f t="shared" si="0"/>
        <v>22.963349330427885</v>
      </c>
      <c r="D32" s="2">
        <f t="shared" si="1"/>
        <v>1.4352093331517428</v>
      </c>
      <c r="E32" s="12" t="s">
        <v>1039</v>
      </c>
    </row>
    <row r="33" spans="1:16" ht="15">
      <c r="A33">
        <v>0</v>
      </c>
      <c r="B33">
        <v>21</v>
      </c>
      <c r="C33" s="2">
        <f t="shared" si="0"/>
        <v>0.7407532042073511</v>
      </c>
      <c r="D33" s="2">
        <f t="shared" si="1"/>
        <v>0.046297075262959446</v>
      </c>
      <c r="E33" s="4" t="s">
        <v>86</v>
      </c>
      <c r="P33" s="31"/>
    </row>
    <row r="34" spans="2:5" ht="12.75">
      <c r="B34" s="9">
        <v>408</v>
      </c>
      <c r="C34" s="2">
        <f>B34/28.349523</f>
        <v>14.39177653888568</v>
      </c>
      <c r="D34" s="2">
        <f>C34/16</f>
        <v>0.899486033680355</v>
      </c>
      <c r="E34" s="11" t="s">
        <v>1011</v>
      </c>
    </row>
    <row r="35" spans="2:5" ht="12.75">
      <c r="B35" s="9">
        <v>593</v>
      </c>
      <c r="C35" s="2">
        <f>B35/28.349523</f>
        <v>20.917459528331392</v>
      </c>
      <c r="D35" s="2">
        <f>C35/16</f>
        <v>1.307341220520712</v>
      </c>
      <c r="E35" s="12" t="s">
        <v>339</v>
      </c>
    </row>
    <row r="36" spans="1:5" ht="12.75">
      <c r="A36">
        <v>0</v>
      </c>
      <c r="B36" s="9"/>
      <c r="C36" s="2">
        <f t="shared" si="0"/>
        <v>0</v>
      </c>
      <c r="D36" s="2">
        <f t="shared" si="1"/>
        <v>0</v>
      </c>
      <c r="E36" s="12" t="s">
        <v>986</v>
      </c>
    </row>
    <row r="37" spans="2:5" ht="12.75">
      <c r="B37" s="9"/>
      <c r="C37" s="2"/>
      <c r="D37" s="2"/>
      <c r="E37"/>
    </row>
    <row r="39" spans="2:4" ht="12" customHeight="1">
      <c r="B39" s="9"/>
      <c r="C39" s="2"/>
      <c r="D39" s="2"/>
    </row>
    <row r="40" spans="2:4" ht="12.75">
      <c r="B40" s="9"/>
      <c r="C40" s="2"/>
      <c r="D40" s="2"/>
    </row>
    <row r="41" spans="2:5" ht="12.75">
      <c r="B41" s="9">
        <v>3</v>
      </c>
      <c r="C41" s="2">
        <f t="shared" si="0"/>
        <v>0.10582188631533589</v>
      </c>
      <c r="D41" s="2">
        <f t="shared" si="1"/>
        <v>0.006613867894708493</v>
      </c>
      <c r="E41" s="12" t="s">
        <v>1525</v>
      </c>
    </row>
    <row r="42" spans="1:5" ht="12.75">
      <c r="A42">
        <v>0</v>
      </c>
      <c r="B42" s="9">
        <v>163</v>
      </c>
      <c r="C42" s="2">
        <f t="shared" si="0"/>
        <v>5.749655823133249</v>
      </c>
      <c r="D42" s="2">
        <f t="shared" si="1"/>
        <v>0.3593534889458281</v>
      </c>
      <c r="E42" s="4" t="s">
        <v>1711</v>
      </c>
    </row>
    <row r="43" spans="1:5" ht="12.75">
      <c r="A43">
        <v>0</v>
      </c>
      <c r="B43" s="9">
        <v>40</v>
      </c>
      <c r="C43" s="2">
        <f>B43/28.349523</f>
        <v>1.4109584842044784</v>
      </c>
      <c r="D43" s="2">
        <f>C43/16</f>
        <v>0.0881849052627799</v>
      </c>
      <c r="E43" s="4" t="s">
        <v>83</v>
      </c>
    </row>
    <row r="44" spans="1:27" ht="12.75">
      <c r="A44">
        <v>0</v>
      </c>
      <c r="B44" s="9">
        <f>90+21+29</f>
        <v>140</v>
      </c>
      <c r="C44" s="2">
        <f t="shared" si="0"/>
        <v>4.938354694715675</v>
      </c>
      <c r="D44" s="2">
        <f t="shared" si="1"/>
        <v>0.30864716841972967</v>
      </c>
      <c r="E44" s="12" t="s">
        <v>1707</v>
      </c>
      <c r="AA44">
        <v>73</v>
      </c>
    </row>
    <row r="45" spans="1:5" ht="12.75">
      <c r="A45">
        <v>0</v>
      </c>
      <c r="B45" s="16">
        <v>74</v>
      </c>
      <c r="C45" s="2">
        <f t="shared" si="0"/>
        <v>2.610273195778285</v>
      </c>
      <c r="D45" s="2">
        <f t="shared" si="1"/>
        <v>0.1631420747361428</v>
      </c>
      <c r="E45" s="13" t="s">
        <v>1519</v>
      </c>
    </row>
    <row r="46" spans="1:5" ht="12.75">
      <c r="A46">
        <v>0</v>
      </c>
      <c r="B46" s="16">
        <v>32</v>
      </c>
      <c r="C46" s="2">
        <f t="shared" si="0"/>
        <v>1.1287667873635827</v>
      </c>
      <c r="D46" s="2">
        <f t="shared" si="1"/>
        <v>0.07054792421022392</v>
      </c>
      <c r="E46" s="13" t="s">
        <v>1709</v>
      </c>
    </row>
    <row r="47" spans="1:5" ht="12.75">
      <c r="A47">
        <v>0</v>
      </c>
      <c r="B47" s="16">
        <v>53</v>
      </c>
      <c r="C47" s="2">
        <f t="shared" si="0"/>
        <v>1.869519991570934</v>
      </c>
      <c r="D47" s="2">
        <f t="shared" si="1"/>
        <v>0.11684499947318337</v>
      </c>
      <c r="E47" s="11" t="s">
        <v>1068</v>
      </c>
    </row>
    <row r="48" spans="1:5" ht="12.75">
      <c r="A48">
        <v>0</v>
      </c>
      <c r="B48" s="9">
        <v>10</v>
      </c>
      <c r="C48" s="2">
        <f t="shared" si="0"/>
        <v>0.3527396210511196</v>
      </c>
      <c r="D48" s="2">
        <f t="shared" si="1"/>
        <v>0.022046226315694976</v>
      </c>
      <c r="E48" s="11" t="s">
        <v>1431</v>
      </c>
    </row>
    <row r="49" spans="2:5" ht="12.75">
      <c r="B49" s="9"/>
      <c r="C49" s="2"/>
      <c r="D49" s="2"/>
      <c r="E49"/>
    </row>
    <row r="50" spans="2:5" ht="12.75">
      <c r="B50" s="9"/>
      <c r="C50" s="2"/>
      <c r="D50" s="2"/>
      <c r="E50"/>
    </row>
    <row r="51" spans="2:5" ht="12.75">
      <c r="B51" s="9"/>
      <c r="C51" s="2"/>
      <c r="D51" s="2"/>
      <c r="E51"/>
    </row>
    <row r="52" spans="2:5" ht="12.75">
      <c r="B52" s="9"/>
      <c r="C52" s="2"/>
      <c r="D52" s="2"/>
      <c r="E52"/>
    </row>
    <row r="53" spans="2:5" ht="12.75">
      <c r="B53" s="9"/>
      <c r="C53" s="2"/>
      <c r="D53" s="2"/>
      <c r="E53"/>
    </row>
    <row r="54" spans="2:5" ht="12.75">
      <c r="B54" s="9"/>
      <c r="C54" s="2"/>
      <c r="D54" s="2"/>
      <c r="E54"/>
    </row>
    <row r="55" spans="2:5" ht="12.75">
      <c r="B55" s="9"/>
      <c r="C55" s="2"/>
      <c r="D55" s="2"/>
      <c r="E55"/>
    </row>
    <row r="56" spans="2:5" ht="12.75">
      <c r="B56" s="9"/>
      <c r="C56" s="2"/>
      <c r="D56" s="2"/>
      <c r="E56"/>
    </row>
    <row r="57" spans="2:5" ht="12.75">
      <c r="B57" s="9"/>
      <c r="C57" s="2"/>
      <c r="D57" s="2"/>
      <c r="E57"/>
    </row>
    <row r="58" spans="2:5" ht="12.75">
      <c r="B58" s="9"/>
      <c r="C58" s="2"/>
      <c r="D58" s="2"/>
      <c r="E58"/>
    </row>
    <row r="60" spans="5:28" ht="117" customHeight="1">
      <c r="E60" s="12" t="s">
        <v>2075</v>
      </c>
      <c r="F60" s="28" t="s">
        <v>1932</v>
      </c>
      <c r="G60" s="1" t="s">
        <v>559</v>
      </c>
      <c r="H60" s="1" t="s">
        <v>585</v>
      </c>
      <c r="I60" s="1" t="s">
        <v>584</v>
      </c>
      <c r="J60" s="1" t="s">
        <v>583</v>
      </c>
      <c r="K60" s="1" t="s">
        <v>582</v>
      </c>
      <c r="L60" s="1" t="s">
        <v>581</v>
      </c>
      <c r="M60" s="1" t="s">
        <v>580</v>
      </c>
      <c r="N60" s="1" t="s">
        <v>579</v>
      </c>
      <c r="O60" s="1" t="s">
        <v>560</v>
      </c>
      <c r="P60" s="1" t="s">
        <v>561</v>
      </c>
      <c r="Q60" s="1" t="s">
        <v>1797</v>
      </c>
      <c r="R60" s="1" t="s">
        <v>1785</v>
      </c>
      <c r="S60" s="1" t="s">
        <v>562</v>
      </c>
      <c r="T60" s="1" t="s">
        <v>563</v>
      </c>
      <c r="U60" s="1" t="s">
        <v>572</v>
      </c>
      <c r="V60" s="1" t="s">
        <v>571</v>
      </c>
      <c r="W60" s="1" t="s">
        <v>575</v>
      </c>
      <c r="X60" s="1" t="s">
        <v>576</v>
      </c>
      <c r="Y60" s="1" t="s">
        <v>577</v>
      </c>
      <c r="Z60" s="1" t="s">
        <v>578</v>
      </c>
      <c r="AA60" s="1" t="s">
        <v>553</v>
      </c>
      <c r="AB60" s="1"/>
    </row>
    <row r="61" spans="1:29" ht="12.75">
      <c r="A61" s="9">
        <f aca="true" t="shared" si="2" ref="A61:A72">G61*U61</f>
        <v>462.3333333333333</v>
      </c>
      <c r="B61">
        <f aca="true" t="shared" si="3" ref="B61:B72">F61*U61</f>
        <v>73</v>
      </c>
      <c r="C61" s="2">
        <f aca="true" t="shared" si="4" ref="C61:C72">B61/28.349523</f>
        <v>2.5749992336731733</v>
      </c>
      <c r="D61" s="2">
        <f aca="true" t="shared" si="5" ref="D61:D73">C61/16</f>
        <v>0.16093745210457333</v>
      </c>
      <c r="E61" s="11" t="s">
        <v>1848</v>
      </c>
      <c r="F61" s="9">
        <v>30</v>
      </c>
      <c r="G61">
        <v>190</v>
      </c>
      <c r="H61">
        <v>15</v>
      </c>
      <c r="I61" s="6">
        <v>4</v>
      </c>
      <c r="J61">
        <v>0</v>
      </c>
      <c r="K61">
        <v>9</v>
      </c>
      <c r="L61">
        <v>1</v>
      </c>
      <c r="M61">
        <v>4</v>
      </c>
      <c r="N61">
        <v>4</v>
      </c>
      <c r="O61" s="32">
        <f aca="true" t="shared" si="6" ref="O61:O72">G61/F61</f>
        <v>6.333333333333333</v>
      </c>
      <c r="P61" s="42">
        <f>100*4*M61/G61</f>
        <v>8.421052631578947</v>
      </c>
      <c r="Q61" s="29">
        <f aca="true" t="shared" si="7" ref="Q61:Q72">100*9*H61/G61</f>
        <v>71.05263157894737</v>
      </c>
      <c r="R61" s="29">
        <f aca="true" t="shared" si="8" ref="R61:R72">100*(I61*9)/G61</f>
        <v>18.94736842105263</v>
      </c>
      <c r="S61" s="16">
        <f>100*K61*4/G61</f>
        <v>18.94736842105263</v>
      </c>
      <c r="T61" s="9">
        <f aca="true" t="shared" si="9" ref="T61:T72">100*N61/F61</f>
        <v>13.333333333333334</v>
      </c>
      <c r="U61" s="2">
        <f>73/F61</f>
        <v>2.433333333333333</v>
      </c>
      <c r="V61" s="9">
        <f aca="true" t="shared" si="10" ref="V61:V72">U61*M61</f>
        <v>9.733333333333333</v>
      </c>
      <c r="W61" s="9">
        <f aca="true" t="shared" si="11" ref="W61:W72">U61*H61</f>
        <v>36.5</v>
      </c>
      <c r="X61" s="9">
        <f aca="true" t="shared" si="12" ref="X61:X72">U61*K61</f>
        <v>21.9</v>
      </c>
      <c r="Y61" s="9">
        <f aca="true" t="shared" si="13" ref="Y61:Y72">N61*U61</f>
        <v>9.733333333333333</v>
      </c>
      <c r="Z61">
        <f aca="true" t="shared" si="14" ref="Z61:Z72">U61*J61</f>
        <v>0</v>
      </c>
      <c r="AA61" s="2">
        <f>I61*U61</f>
        <v>9.733333333333333</v>
      </c>
      <c r="AB61" s="9" t="s">
        <v>1593</v>
      </c>
      <c r="AC61" s="9"/>
    </row>
    <row r="62" spans="1:29" ht="12.75">
      <c r="A62" s="9">
        <f t="shared" si="2"/>
        <v>959.2857142857143</v>
      </c>
      <c r="B62">
        <f t="shared" si="3"/>
        <v>158</v>
      </c>
      <c r="C62" s="2">
        <f t="shared" si="4"/>
        <v>5.5732860126076895</v>
      </c>
      <c r="D62" s="2">
        <f t="shared" si="5"/>
        <v>0.3483303757879806</v>
      </c>
      <c r="E62" s="11" t="s">
        <v>1845</v>
      </c>
      <c r="F62" s="9">
        <v>28</v>
      </c>
      <c r="G62">
        <v>170</v>
      </c>
      <c r="H62">
        <v>13</v>
      </c>
      <c r="I62">
        <v>3</v>
      </c>
      <c r="J62">
        <v>0</v>
      </c>
      <c r="K62">
        <v>9</v>
      </c>
      <c r="L62">
        <v>2</v>
      </c>
      <c r="M62">
        <v>5</v>
      </c>
      <c r="N62">
        <v>1</v>
      </c>
      <c r="O62" s="32">
        <f t="shared" si="6"/>
        <v>6.071428571428571</v>
      </c>
      <c r="P62" s="9">
        <f>100*M62/F62</f>
        <v>17.857142857142858</v>
      </c>
      <c r="Q62" s="9">
        <f t="shared" si="7"/>
        <v>68.82352941176471</v>
      </c>
      <c r="R62" s="29">
        <f t="shared" si="8"/>
        <v>15.882352941176471</v>
      </c>
      <c r="S62" s="9">
        <f>100*K62/F62</f>
        <v>32.142857142857146</v>
      </c>
      <c r="T62" s="9">
        <f t="shared" si="9"/>
        <v>3.5714285714285716</v>
      </c>
      <c r="U62" s="2">
        <f>158/F62</f>
        <v>5.642857142857143</v>
      </c>
      <c r="V62" s="9">
        <f t="shared" si="10"/>
        <v>28.214285714285715</v>
      </c>
      <c r="W62" s="9">
        <f t="shared" si="11"/>
        <v>73.35714285714286</v>
      </c>
      <c r="X62" s="9">
        <f t="shared" si="12"/>
        <v>50.78571428571429</v>
      </c>
      <c r="Y62" s="9">
        <f t="shared" si="13"/>
        <v>5.642857142857143</v>
      </c>
      <c r="Z62">
        <f t="shared" si="14"/>
        <v>0</v>
      </c>
      <c r="AA62" s="9">
        <f>U62*I62</f>
        <v>16.92857142857143</v>
      </c>
      <c r="AB62" s="9" t="s">
        <v>528</v>
      </c>
      <c r="AC62" s="9"/>
    </row>
    <row r="63" spans="1:28" ht="12.75">
      <c r="A63" s="9">
        <f t="shared" si="2"/>
        <v>642.8571428571429</v>
      </c>
      <c r="B63" s="12">
        <f t="shared" si="3"/>
        <v>90</v>
      </c>
      <c r="C63" s="2">
        <f t="shared" si="4"/>
        <v>3.1746565894600765</v>
      </c>
      <c r="D63" s="2">
        <f t="shared" si="5"/>
        <v>0.19841603684125478</v>
      </c>
      <c r="E63" s="11" t="s">
        <v>1849</v>
      </c>
      <c r="F63" s="9">
        <v>28</v>
      </c>
      <c r="G63">
        <v>200</v>
      </c>
      <c r="H63">
        <v>21</v>
      </c>
      <c r="I63" s="6">
        <v>3.5</v>
      </c>
      <c r="J63">
        <v>0</v>
      </c>
      <c r="K63">
        <v>4</v>
      </c>
      <c r="L63">
        <v>1</v>
      </c>
      <c r="M63">
        <v>2</v>
      </c>
      <c r="N63">
        <v>2</v>
      </c>
      <c r="O63" s="32">
        <f t="shared" si="6"/>
        <v>7.142857142857143</v>
      </c>
      <c r="P63" s="42">
        <f>100*4*M63/G63</f>
        <v>4</v>
      </c>
      <c r="Q63" s="29">
        <f t="shared" si="7"/>
        <v>94.5</v>
      </c>
      <c r="R63" s="16">
        <f t="shared" si="8"/>
        <v>15.75</v>
      </c>
      <c r="S63" s="16">
        <f>100*K63*4/G63</f>
        <v>8</v>
      </c>
      <c r="T63" s="9">
        <f t="shared" si="9"/>
        <v>7.142857142857143</v>
      </c>
      <c r="U63" s="2">
        <f>90/F63</f>
        <v>3.2142857142857144</v>
      </c>
      <c r="V63" s="9">
        <f t="shared" si="10"/>
        <v>6.428571428571429</v>
      </c>
      <c r="W63" s="9">
        <f t="shared" si="11"/>
        <v>67.5</v>
      </c>
      <c r="X63" s="9">
        <f t="shared" si="12"/>
        <v>12.857142857142858</v>
      </c>
      <c r="Y63" s="9">
        <f t="shared" si="13"/>
        <v>6.428571428571429</v>
      </c>
      <c r="Z63">
        <f t="shared" si="14"/>
        <v>0</v>
      </c>
      <c r="AA63" s="2">
        <f>I63*U63</f>
        <v>11.25</v>
      </c>
      <c r="AB63" t="s">
        <v>1594</v>
      </c>
    </row>
    <row r="64" spans="1:29" ht="12.75">
      <c r="A64" s="9">
        <f t="shared" si="2"/>
        <v>550</v>
      </c>
      <c r="B64">
        <f t="shared" si="3"/>
        <v>100</v>
      </c>
      <c r="C64" s="2">
        <f t="shared" si="4"/>
        <v>3.527396210511196</v>
      </c>
      <c r="D64" s="2">
        <f t="shared" si="5"/>
        <v>0.22046226315694975</v>
      </c>
      <c r="E64" s="11" t="s">
        <v>1847</v>
      </c>
      <c r="F64" s="9">
        <v>40</v>
      </c>
      <c r="G64" s="33">
        <v>220</v>
      </c>
      <c r="H64">
        <v>18</v>
      </c>
      <c r="I64" s="6">
        <v>11</v>
      </c>
      <c r="J64">
        <v>0</v>
      </c>
      <c r="K64">
        <v>18</v>
      </c>
      <c r="L64">
        <v>10</v>
      </c>
      <c r="M64">
        <v>2</v>
      </c>
      <c r="N64">
        <v>3</v>
      </c>
      <c r="O64" s="2">
        <f t="shared" si="6"/>
        <v>5.5</v>
      </c>
      <c r="P64" s="42">
        <f>100*4*M64/G64</f>
        <v>3.6363636363636362</v>
      </c>
      <c r="Q64" s="29">
        <f t="shared" si="7"/>
        <v>73.63636363636364</v>
      </c>
      <c r="R64" s="29">
        <f t="shared" si="8"/>
        <v>45</v>
      </c>
      <c r="S64" s="16">
        <f>100*K64*4/G64</f>
        <v>32.72727272727273</v>
      </c>
      <c r="T64" s="9">
        <f t="shared" si="9"/>
        <v>7.5</v>
      </c>
      <c r="U64" s="2">
        <f>100/F64</f>
        <v>2.5</v>
      </c>
      <c r="V64" s="9">
        <f t="shared" si="10"/>
        <v>5</v>
      </c>
      <c r="W64" s="9">
        <f t="shared" si="11"/>
        <v>45</v>
      </c>
      <c r="X64" s="9">
        <f t="shared" si="12"/>
        <v>45</v>
      </c>
      <c r="Y64" s="9">
        <f t="shared" si="13"/>
        <v>7.5</v>
      </c>
      <c r="Z64">
        <f t="shared" si="14"/>
        <v>0</v>
      </c>
      <c r="AA64" s="2">
        <f>I64*U64</f>
        <v>27.5</v>
      </c>
      <c r="AB64" t="s">
        <v>1592</v>
      </c>
      <c r="AC64" s="9"/>
    </row>
    <row r="65" spans="1:29" ht="12.75">
      <c r="A65" s="9">
        <f t="shared" si="2"/>
        <v>550</v>
      </c>
      <c r="B65">
        <f t="shared" si="3"/>
        <v>100</v>
      </c>
      <c r="C65" s="2">
        <f t="shared" si="4"/>
        <v>3.527396210511196</v>
      </c>
      <c r="D65" s="2">
        <f t="shared" si="5"/>
        <v>0.22046226315694975</v>
      </c>
      <c r="E65" s="11" t="s">
        <v>1846</v>
      </c>
      <c r="F65" s="9">
        <v>40</v>
      </c>
      <c r="G65">
        <v>220</v>
      </c>
      <c r="H65">
        <v>13</v>
      </c>
      <c r="I65" s="6">
        <v>8</v>
      </c>
      <c r="J65">
        <v>0</v>
      </c>
      <c r="K65">
        <v>23</v>
      </c>
      <c r="L65">
        <v>23</v>
      </c>
      <c r="M65">
        <v>2</v>
      </c>
      <c r="N65">
        <v>0</v>
      </c>
      <c r="O65" s="2">
        <f t="shared" si="6"/>
        <v>5.5</v>
      </c>
      <c r="P65" s="42">
        <f>100*4*M65/G65</f>
        <v>3.6363636363636362</v>
      </c>
      <c r="Q65" s="9">
        <f t="shared" si="7"/>
        <v>53.18181818181818</v>
      </c>
      <c r="R65" s="29">
        <f t="shared" si="8"/>
        <v>32.72727272727273</v>
      </c>
      <c r="S65" s="16">
        <f>100*K65*4/G65</f>
        <v>41.81818181818182</v>
      </c>
      <c r="T65" s="9">
        <f t="shared" si="9"/>
        <v>0</v>
      </c>
      <c r="U65" s="2">
        <f>100/F65</f>
        <v>2.5</v>
      </c>
      <c r="V65" s="9">
        <f t="shared" si="10"/>
        <v>5</v>
      </c>
      <c r="W65" s="9">
        <f t="shared" si="11"/>
        <v>32.5</v>
      </c>
      <c r="X65" s="9">
        <f t="shared" si="12"/>
        <v>57.5</v>
      </c>
      <c r="Y65" s="9">
        <f t="shared" si="13"/>
        <v>0</v>
      </c>
      <c r="Z65">
        <f t="shared" si="14"/>
        <v>0</v>
      </c>
      <c r="AA65" s="2">
        <f>I65*U65</f>
        <v>20</v>
      </c>
      <c r="AB65" t="s">
        <v>1592</v>
      </c>
      <c r="AC65" s="9"/>
    </row>
    <row r="66" spans="1:29" ht="12.75">
      <c r="A66" s="9">
        <f t="shared" si="2"/>
        <v>580</v>
      </c>
      <c r="B66">
        <f t="shared" si="3"/>
        <v>150</v>
      </c>
      <c r="C66" s="2">
        <f t="shared" si="4"/>
        <v>5.291094315766794</v>
      </c>
      <c r="D66" s="2">
        <f t="shared" si="5"/>
        <v>0.33069339473542464</v>
      </c>
      <c r="E66" s="11" t="s">
        <v>2142</v>
      </c>
      <c r="F66" s="9">
        <v>75</v>
      </c>
      <c r="G66">
        <v>290</v>
      </c>
      <c r="H66">
        <v>6</v>
      </c>
      <c r="I66" s="6">
        <v>3</v>
      </c>
      <c r="J66">
        <v>8</v>
      </c>
      <c r="K66">
        <v>39</v>
      </c>
      <c r="L66">
        <v>30</v>
      </c>
      <c r="M66">
        <v>20</v>
      </c>
      <c r="N66">
        <v>1</v>
      </c>
      <c r="O66" s="2">
        <f t="shared" si="6"/>
        <v>3.8666666666666667</v>
      </c>
      <c r="P66" s="16">
        <f>100*4*M66/G66</f>
        <v>27.586206896551722</v>
      </c>
      <c r="Q66" s="9">
        <f t="shared" si="7"/>
        <v>18.620689655172413</v>
      </c>
      <c r="R66" s="16">
        <f t="shared" si="8"/>
        <v>9.310344827586206</v>
      </c>
      <c r="S66" s="16">
        <f>100*K66*4/G66</f>
        <v>53.793103448275865</v>
      </c>
      <c r="T66" s="9">
        <f t="shared" si="9"/>
        <v>1.3333333333333333</v>
      </c>
      <c r="U66" s="2">
        <v>2</v>
      </c>
      <c r="V66" s="9">
        <f t="shared" si="10"/>
        <v>40</v>
      </c>
      <c r="W66" s="9">
        <f t="shared" si="11"/>
        <v>12</v>
      </c>
      <c r="X66" s="9">
        <f t="shared" si="12"/>
        <v>78</v>
      </c>
      <c r="Y66" s="9">
        <f t="shared" si="13"/>
        <v>2</v>
      </c>
      <c r="Z66">
        <f t="shared" si="14"/>
        <v>16</v>
      </c>
      <c r="AA66" s="2">
        <f>I66*U66</f>
        <v>6</v>
      </c>
      <c r="AB66" s="9" t="s">
        <v>1468</v>
      </c>
      <c r="AC66" s="9"/>
    </row>
    <row r="67" spans="1:29" ht="12.75">
      <c r="A67">
        <f t="shared" si="2"/>
        <v>380</v>
      </c>
      <c r="B67" s="9">
        <f t="shared" si="3"/>
        <v>78.24468347999999</v>
      </c>
      <c r="C67" s="2">
        <f t="shared" si="4"/>
        <v>2.76</v>
      </c>
      <c r="D67" s="2">
        <f t="shared" si="5"/>
        <v>0.1725</v>
      </c>
      <c r="E67" s="11" t="s">
        <v>1937</v>
      </c>
      <c r="F67" s="9">
        <f>1.38*28.349523</f>
        <v>39.122341739999996</v>
      </c>
      <c r="G67">
        <v>190</v>
      </c>
      <c r="H67">
        <v>10</v>
      </c>
      <c r="I67">
        <v>2</v>
      </c>
      <c r="J67">
        <v>0</v>
      </c>
      <c r="K67">
        <v>23</v>
      </c>
      <c r="L67">
        <v>4</v>
      </c>
      <c r="M67">
        <v>4</v>
      </c>
      <c r="N67">
        <v>1</v>
      </c>
      <c r="O67" s="2">
        <f t="shared" si="6"/>
        <v>4.856559999979184</v>
      </c>
      <c r="P67" s="9">
        <f>100*M67/F67</f>
        <v>10.22433684206144</v>
      </c>
      <c r="Q67" s="9">
        <f t="shared" si="7"/>
        <v>47.36842105263158</v>
      </c>
      <c r="R67" s="16">
        <f t="shared" si="8"/>
        <v>9.473684210526315</v>
      </c>
      <c r="S67" s="9">
        <f>100*K67/F67</f>
        <v>58.789936841853276</v>
      </c>
      <c r="T67" s="9">
        <f t="shared" si="9"/>
        <v>2.55608421051536</v>
      </c>
      <c r="U67" s="2">
        <v>2</v>
      </c>
      <c r="V67" s="9">
        <f t="shared" si="10"/>
        <v>8</v>
      </c>
      <c r="W67" s="9">
        <f t="shared" si="11"/>
        <v>20</v>
      </c>
      <c r="X67" s="9">
        <f t="shared" si="12"/>
        <v>46</v>
      </c>
      <c r="Y67" s="9">
        <f t="shared" si="13"/>
        <v>2</v>
      </c>
      <c r="Z67">
        <f t="shared" si="14"/>
        <v>0</v>
      </c>
      <c r="AA67" s="9">
        <f>U67*I67</f>
        <v>4</v>
      </c>
      <c r="AB67" s="9"/>
      <c r="AC67" s="9"/>
    </row>
    <row r="68" spans="1:29" ht="12.75">
      <c r="A68" s="9">
        <f t="shared" si="2"/>
        <v>380</v>
      </c>
      <c r="B68">
        <f t="shared" si="3"/>
        <v>100</v>
      </c>
      <c r="C68" s="2">
        <f t="shared" si="4"/>
        <v>3.527396210511196</v>
      </c>
      <c r="D68" s="2">
        <f t="shared" si="5"/>
        <v>0.22046226315694975</v>
      </c>
      <c r="E68" s="11" t="s">
        <v>1467</v>
      </c>
      <c r="F68" s="9">
        <v>50</v>
      </c>
      <c r="G68">
        <v>190</v>
      </c>
      <c r="H68">
        <v>6</v>
      </c>
      <c r="I68" s="6">
        <v>3</v>
      </c>
      <c r="J68" s="6">
        <v>0</v>
      </c>
      <c r="K68" s="6">
        <v>22</v>
      </c>
      <c r="L68" s="6">
        <v>17</v>
      </c>
      <c r="M68" s="6">
        <v>14</v>
      </c>
      <c r="N68" s="6">
        <v>0</v>
      </c>
      <c r="O68" s="2">
        <f t="shared" si="6"/>
        <v>3.8</v>
      </c>
      <c r="P68" s="16">
        <f>100*4*M68/G68</f>
        <v>29.473684210526315</v>
      </c>
      <c r="Q68" s="9">
        <f t="shared" si="7"/>
        <v>28.42105263157895</v>
      </c>
      <c r="R68" s="16">
        <f t="shared" si="8"/>
        <v>14.210526315789474</v>
      </c>
      <c r="S68" s="16">
        <f>100*K68*4/G68</f>
        <v>46.31578947368421</v>
      </c>
      <c r="T68" s="9">
        <f t="shared" si="9"/>
        <v>0</v>
      </c>
      <c r="U68" s="2">
        <v>2</v>
      </c>
      <c r="V68" s="9">
        <f t="shared" si="10"/>
        <v>28</v>
      </c>
      <c r="W68" s="9">
        <f t="shared" si="11"/>
        <v>12</v>
      </c>
      <c r="X68" s="9">
        <f t="shared" si="12"/>
        <v>44</v>
      </c>
      <c r="Y68" s="9">
        <f t="shared" si="13"/>
        <v>0</v>
      </c>
      <c r="Z68">
        <f t="shared" si="14"/>
        <v>0</v>
      </c>
      <c r="AA68" s="2">
        <f>I68*U68</f>
        <v>6</v>
      </c>
      <c r="AB68" s="9" t="s">
        <v>1468</v>
      </c>
      <c r="AC68" s="9"/>
    </row>
    <row r="69" spans="1:29" ht="12.75">
      <c r="A69">
        <f t="shared" si="2"/>
        <v>150</v>
      </c>
      <c r="B69">
        <f t="shared" si="3"/>
        <v>50</v>
      </c>
      <c r="C69" s="2">
        <f t="shared" si="4"/>
        <v>1.763698105255598</v>
      </c>
      <c r="D69" s="2">
        <f t="shared" si="5"/>
        <v>0.11023113157847488</v>
      </c>
      <c r="E69" s="11" t="s">
        <v>1938</v>
      </c>
      <c r="F69" s="9">
        <v>50</v>
      </c>
      <c r="G69">
        <v>150</v>
      </c>
      <c r="H69">
        <v>0</v>
      </c>
      <c r="I69">
        <v>0</v>
      </c>
      <c r="J69">
        <v>0</v>
      </c>
      <c r="K69">
        <v>36</v>
      </c>
      <c r="L69">
        <v>22</v>
      </c>
      <c r="M69">
        <v>2</v>
      </c>
      <c r="N69">
        <v>1</v>
      </c>
      <c r="O69" s="2">
        <f t="shared" si="6"/>
        <v>3</v>
      </c>
      <c r="P69" s="9">
        <f>100*M69/F69</f>
        <v>4</v>
      </c>
      <c r="Q69" s="9">
        <f t="shared" si="7"/>
        <v>0</v>
      </c>
      <c r="R69" s="16">
        <f t="shared" si="8"/>
        <v>0</v>
      </c>
      <c r="S69" s="29">
        <f>100*K69/F69</f>
        <v>72</v>
      </c>
      <c r="T69" s="9">
        <f t="shared" si="9"/>
        <v>2</v>
      </c>
      <c r="U69" s="2">
        <v>1</v>
      </c>
      <c r="V69" s="9">
        <f t="shared" si="10"/>
        <v>2</v>
      </c>
      <c r="W69" s="9">
        <f t="shared" si="11"/>
        <v>0</v>
      </c>
      <c r="X69" s="9">
        <f t="shared" si="12"/>
        <v>36</v>
      </c>
      <c r="Y69" s="9">
        <f t="shared" si="13"/>
        <v>1</v>
      </c>
      <c r="Z69">
        <f t="shared" si="14"/>
        <v>0</v>
      </c>
      <c r="AA69" s="9">
        <f>U69*I69</f>
        <v>0</v>
      </c>
      <c r="AB69" s="9"/>
      <c r="AC69" s="9"/>
    </row>
    <row r="70" spans="1:29" ht="12.75">
      <c r="A70">
        <f t="shared" si="2"/>
        <v>270</v>
      </c>
      <c r="B70" s="9">
        <f t="shared" si="3"/>
        <v>66</v>
      </c>
      <c r="C70" s="2">
        <f t="shared" si="4"/>
        <v>2.3280814989373892</v>
      </c>
      <c r="D70" s="2">
        <f t="shared" si="5"/>
        <v>0.14550509368358683</v>
      </c>
      <c r="E70" s="11" t="s">
        <v>1934</v>
      </c>
      <c r="F70" s="9">
        <v>22</v>
      </c>
      <c r="G70">
        <v>90</v>
      </c>
      <c r="H70">
        <v>2</v>
      </c>
      <c r="I70">
        <v>0.5</v>
      </c>
      <c r="J70">
        <v>0</v>
      </c>
      <c r="K70">
        <v>18</v>
      </c>
      <c r="L70">
        <v>8</v>
      </c>
      <c r="M70">
        <v>1</v>
      </c>
      <c r="N70">
        <v>0</v>
      </c>
      <c r="O70" s="2">
        <f t="shared" si="6"/>
        <v>4.090909090909091</v>
      </c>
      <c r="P70" s="9">
        <f>100*M70/F70</f>
        <v>4.545454545454546</v>
      </c>
      <c r="Q70" s="9">
        <f t="shared" si="7"/>
        <v>20</v>
      </c>
      <c r="R70" s="16">
        <f t="shared" si="8"/>
        <v>5</v>
      </c>
      <c r="S70" s="29">
        <f>100*K70/F70</f>
        <v>81.81818181818181</v>
      </c>
      <c r="T70" s="9">
        <f t="shared" si="9"/>
        <v>0</v>
      </c>
      <c r="U70" s="2">
        <v>3</v>
      </c>
      <c r="V70" s="9">
        <f t="shared" si="10"/>
        <v>3</v>
      </c>
      <c r="W70" s="9">
        <f t="shared" si="11"/>
        <v>6</v>
      </c>
      <c r="X70" s="9">
        <f t="shared" si="12"/>
        <v>54</v>
      </c>
      <c r="Y70" s="9">
        <f t="shared" si="13"/>
        <v>0</v>
      </c>
      <c r="Z70">
        <f t="shared" si="14"/>
        <v>0</v>
      </c>
      <c r="AA70" s="9">
        <f>U70*I70</f>
        <v>1.5</v>
      </c>
      <c r="AB70" s="9"/>
      <c r="AC70" s="9"/>
    </row>
    <row r="71" spans="1:29" ht="12.75">
      <c r="A71" s="9">
        <f t="shared" si="2"/>
        <v>240</v>
      </c>
      <c r="B71">
        <f t="shared" si="3"/>
        <v>68</v>
      </c>
      <c r="C71" s="2">
        <f t="shared" si="4"/>
        <v>2.3986294231476135</v>
      </c>
      <c r="D71" s="2">
        <f t="shared" si="5"/>
        <v>0.14991433894672584</v>
      </c>
      <c r="E71" s="11" t="s">
        <v>530</v>
      </c>
      <c r="F71" s="9">
        <v>68</v>
      </c>
      <c r="G71">
        <v>240</v>
      </c>
      <c r="H71">
        <v>4</v>
      </c>
      <c r="I71" s="6">
        <v>2</v>
      </c>
      <c r="J71">
        <v>0</v>
      </c>
      <c r="K71">
        <v>43</v>
      </c>
      <c r="L71">
        <v>21</v>
      </c>
      <c r="M71">
        <v>10</v>
      </c>
      <c r="N71">
        <v>5</v>
      </c>
      <c r="O71" s="2">
        <f t="shared" si="6"/>
        <v>3.5294117647058822</v>
      </c>
      <c r="P71" s="9">
        <f>100*4*M71/G71</f>
        <v>16.666666666666668</v>
      </c>
      <c r="Q71" s="9">
        <f t="shared" si="7"/>
        <v>15</v>
      </c>
      <c r="R71" s="16">
        <f t="shared" si="8"/>
        <v>7.5</v>
      </c>
      <c r="S71" s="29">
        <f>100*K71*4/G71</f>
        <v>71.66666666666667</v>
      </c>
      <c r="T71" s="9">
        <f t="shared" si="9"/>
        <v>7.352941176470588</v>
      </c>
      <c r="U71" s="2">
        <v>1</v>
      </c>
      <c r="V71" s="16">
        <f t="shared" si="10"/>
        <v>10</v>
      </c>
      <c r="W71" s="9">
        <f t="shared" si="11"/>
        <v>4</v>
      </c>
      <c r="X71" s="9">
        <f t="shared" si="12"/>
        <v>43</v>
      </c>
      <c r="Y71" s="16">
        <f t="shared" si="13"/>
        <v>5</v>
      </c>
      <c r="Z71">
        <f t="shared" si="14"/>
        <v>0</v>
      </c>
      <c r="AA71" s="2">
        <f>I71*U71</f>
        <v>2</v>
      </c>
      <c r="AB71" s="11" t="s">
        <v>532</v>
      </c>
      <c r="AC71" s="9"/>
    </row>
    <row r="72" spans="1:28" ht="12.75">
      <c r="A72" s="9">
        <f t="shared" si="2"/>
        <v>1260</v>
      </c>
      <c r="B72" s="12">
        <f t="shared" si="3"/>
        <v>360</v>
      </c>
      <c r="C72" s="2">
        <f t="shared" si="4"/>
        <v>12.698626357840306</v>
      </c>
      <c r="D72" s="2">
        <f t="shared" si="5"/>
        <v>0.7936641473650191</v>
      </c>
      <c r="E72" s="11" t="s">
        <v>1843</v>
      </c>
      <c r="F72" s="9">
        <v>40</v>
      </c>
      <c r="G72">
        <v>140</v>
      </c>
      <c r="H72">
        <v>0</v>
      </c>
      <c r="I72" s="6">
        <v>0</v>
      </c>
      <c r="J72" s="6">
        <v>0</v>
      </c>
      <c r="K72" s="6">
        <v>35</v>
      </c>
      <c r="L72" s="6">
        <v>30</v>
      </c>
      <c r="M72" s="6">
        <v>0</v>
      </c>
      <c r="N72" s="6">
        <v>2</v>
      </c>
      <c r="O72" s="10">
        <f t="shared" si="6"/>
        <v>3.5</v>
      </c>
      <c r="P72" s="45">
        <f>100*4*M72/G72</f>
        <v>0</v>
      </c>
      <c r="Q72" s="42">
        <f t="shared" si="7"/>
        <v>0</v>
      </c>
      <c r="R72" s="42">
        <f t="shared" si="8"/>
        <v>0</v>
      </c>
      <c r="S72" s="46">
        <f>100*K72*4/G72</f>
        <v>100</v>
      </c>
      <c r="T72" s="35">
        <f t="shared" si="9"/>
        <v>5</v>
      </c>
      <c r="U72" s="47">
        <f>360/40</f>
        <v>9</v>
      </c>
      <c r="V72" s="35">
        <f t="shared" si="10"/>
        <v>0</v>
      </c>
      <c r="W72" s="35">
        <f t="shared" si="11"/>
        <v>0</v>
      </c>
      <c r="X72" s="35">
        <f t="shared" si="12"/>
        <v>315</v>
      </c>
      <c r="Y72" s="35">
        <f t="shared" si="13"/>
        <v>18</v>
      </c>
      <c r="Z72" s="34">
        <f t="shared" si="14"/>
        <v>0</v>
      </c>
      <c r="AA72" s="44">
        <f>I72*U72</f>
        <v>0</v>
      </c>
      <c r="AB72" s="9" t="s">
        <v>1844</v>
      </c>
    </row>
    <row r="73" spans="1:27" ht="12.75">
      <c r="A73" s="9">
        <f>SUM(A61:A72)</f>
        <v>6424.476190476191</v>
      </c>
      <c r="B73">
        <v>0</v>
      </c>
      <c r="C73" s="9">
        <f>SUM(C63:C72)</f>
        <v>40.99697492194137</v>
      </c>
      <c r="D73" s="2">
        <f t="shared" si="5"/>
        <v>2.562310932621336</v>
      </c>
      <c r="E73" s="11" t="s">
        <v>1507</v>
      </c>
      <c r="F73" s="48">
        <f>SUM(B61:B72)</f>
        <v>1393.24468348</v>
      </c>
      <c r="J73" s="3"/>
      <c r="K73" s="3"/>
      <c r="L73" s="3"/>
      <c r="M73" s="9"/>
      <c r="O73" s="3"/>
      <c r="V73" s="9">
        <f aca="true" t="shared" si="15" ref="V73:AA73">SUM(V61:V72)</f>
        <v>145.3761904761905</v>
      </c>
      <c r="W73" s="9">
        <f t="shared" si="15"/>
        <v>308.8571428571429</v>
      </c>
      <c r="X73" s="9">
        <f t="shared" si="15"/>
        <v>804.0428571428572</v>
      </c>
      <c r="Y73" s="9">
        <f t="shared" si="15"/>
        <v>57.304761904761904</v>
      </c>
      <c r="Z73" s="9">
        <f t="shared" si="15"/>
        <v>16</v>
      </c>
      <c r="AA73" s="9">
        <f t="shared" si="15"/>
        <v>104.91190476190476</v>
      </c>
    </row>
    <row r="74" spans="3:28" ht="12.75">
      <c r="C74" s="2"/>
      <c r="D74" s="2"/>
      <c r="F74">
        <v>1.8</v>
      </c>
      <c r="G74" t="s">
        <v>534</v>
      </c>
      <c r="I74" s="34">
        <f>A73/F74</f>
        <v>3569.153439153439</v>
      </c>
      <c r="J74" t="s">
        <v>536</v>
      </c>
      <c r="L74">
        <f>V73/F74</f>
        <v>80.76455026455027</v>
      </c>
      <c r="M74" t="s">
        <v>535</v>
      </c>
      <c r="O74">
        <f>Y73/F74</f>
        <v>31.835978835978835</v>
      </c>
      <c r="P74" t="s">
        <v>554</v>
      </c>
      <c r="R74">
        <f>AA73/F74</f>
        <v>58.28439153439153</v>
      </c>
      <c r="S74" t="s">
        <v>555</v>
      </c>
      <c r="V74" s="35">
        <f>4*V73</f>
        <v>581.504761904762</v>
      </c>
      <c r="W74" s="35">
        <f>9*W73</f>
        <v>2779.7142857142862</v>
      </c>
      <c r="X74" s="35">
        <f>4*X73</f>
        <v>3216.171428571429</v>
      </c>
      <c r="AA74">
        <f>9*AA73</f>
        <v>944.2071428571429</v>
      </c>
      <c r="AB74" t="s">
        <v>697</v>
      </c>
    </row>
    <row r="75" spans="1:28" ht="12.75">
      <c r="A75">
        <v>0</v>
      </c>
      <c r="B75" s="9">
        <v>20</v>
      </c>
      <c r="C75" s="2">
        <f>B75/28.349523</f>
        <v>0.7054792421022392</v>
      </c>
      <c r="D75" s="2">
        <f>C75/16</f>
        <v>0.04409245263138995</v>
      </c>
      <c r="E75" s="11" t="s">
        <v>314</v>
      </c>
      <c r="V75" s="9">
        <f>V74*100/A73</f>
        <v>9.051395703929911</v>
      </c>
      <c r="W75" s="9">
        <f>100*W74/A73</f>
        <v>43.267563040158926</v>
      </c>
      <c r="X75" s="9">
        <f>X74*100/A73</f>
        <v>50.06122418726004</v>
      </c>
      <c r="Y75" s="2">
        <f>100*Y73/A73</f>
        <v>0.8919756289191634</v>
      </c>
      <c r="AA75">
        <f>100*AA74/A73</f>
        <v>14.69702921861334</v>
      </c>
      <c r="AB75" t="s">
        <v>1786</v>
      </c>
    </row>
    <row r="76" spans="1:11" ht="12.75">
      <c r="A76">
        <v>0</v>
      </c>
      <c r="B76" s="9">
        <v>17</v>
      </c>
      <c r="C76" s="2">
        <f>B76/28.349523</f>
        <v>0.5996573557869034</v>
      </c>
      <c r="D76" s="2">
        <f>C76/16</f>
        <v>0.03747858473668146</v>
      </c>
      <c r="E76" s="12" t="s">
        <v>1473</v>
      </c>
      <c r="K76" s="33" t="s">
        <v>587</v>
      </c>
    </row>
    <row r="77" spans="1:12" ht="12.75">
      <c r="A77">
        <v>0</v>
      </c>
      <c r="B77" s="9">
        <v>5</v>
      </c>
      <c r="C77" s="2">
        <f>B77/28.349523</f>
        <v>0.1763698105255598</v>
      </c>
      <c r="D77" s="2">
        <f>C77/16</f>
        <v>0.011023113157847488</v>
      </c>
      <c r="E77" s="11" t="s">
        <v>1064</v>
      </c>
      <c r="L77" t="s">
        <v>586</v>
      </c>
    </row>
    <row r="78" spans="1:12" ht="12.75">
      <c r="A78">
        <v>0</v>
      </c>
      <c r="B78" s="9">
        <v>33</v>
      </c>
      <c r="C78" s="2">
        <f>B78/28.349523</f>
        <v>1.1640407494686946</v>
      </c>
      <c r="D78" s="2">
        <f>C78/16</f>
        <v>0.07275254684179341</v>
      </c>
      <c r="E78" s="11" t="s">
        <v>1479</v>
      </c>
      <c r="L78" t="s">
        <v>1781</v>
      </c>
    </row>
    <row r="79" spans="1:12" ht="12.75">
      <c r="A79">
        <v>0</v>
      </c>
      <c r="B79" s="9">
        <v>66</v>
      </c>
      <c r="C79" s="2">
        <f>B79/28.349523</f>
        <v>2.3280814989373892</v>
      </c>
      <c r="D79" s="2">
        <f>C79/16</f>
        <v>0.14550509368358683</v>
      </c>
      <c r="E79" s="11" t="s">
        <v>944</v>
      </c>
      <c r="L79" t="s">
        <v>1796</v>
      </c>
    </row>
    <row r="80" spans="2:12" ht="12.75">
      <c r="B80" s="9"/>
      <c r="C80" s="2"/>
      <c r="D80" s="2"/>
      <c r="E80" s="11"/>
      <c r="L80" s="27" t="s">
        <v>1789</v>
      </c>
    </row>
    <row r="82" spans="2:5" ht="12.75">
      <c r="B82" s="9">
        <v>87</v>
      </c>
      <c r="C82" s="2">
        <f>B82/28.349523</f>
        <v>3.0688347031447405</v>
      </c>
      <c r="D82" s="3">
        <f>C82/16</f>
        <v>0.19180216894654628</v>
      </c>
      <c r="E82" t="s">
        <v>373</v>
      </c>
    </row>
    <row r="83" spans="1:5" ht="12.75">
      <c r="A83">
        <v>0</v>
      </c>
      <c r="B83" s="16">
        <v>39</v>
      </c>
      <c r="C83" s="3">
        <f aca="true" t="shared" si="16" ref="C83:C91">B83/28.349523</f>
        <v>1.3756845220993665</v>
      </c>
      <c r="D83" s="3">
        <f aca="true" t="shared" si="17" ref="D83:D91">C83/16</f>
        <v>0.08598028263121041</v>
      </c>
      <c r="E83" s="4" t="s">
        <v>1825</v>
      </c>
    </row>
    <row r="84" spans="1:5" ht="12.75">
      <c r="A84">
        <v>0</v>
      </c>
      <c r="B84" s="9">
        <v>10</v>
      </c>
      <c r="C84" s="3">
        <f t="shared" si="16"/>
        <v>0.3527396210511196</v>
      </c>
      <c r="D84" s="3">
        <f t="shared" si="17"/>
        <v>0.022046226315694976</v>
      </c>
      <c r="E84" s="11" t="s">
        <v>987</v>
      </c>
    </row>
    <row r="85" spans="1:5" ht="12.75">
      <c r="A85">
        <v>0</v>
      </c>
      <c r="B85">
        <v>28</v>
      </c>
      <c r="C85" s="3">
        <f t="shared" si="16"/>
        <v>0.987670938943135</v>
      </c>
      <c r="D85" s="3">
        <f t="shared" si="17"/>
        <v>0.061729433683945935</v>
      </c>
      <c r="E85" s="13" t="s">
        <v>776</v>
      </c>
    </row>
    <row r="86" spans="1:5" ht="12.75">
      <c r="A86">
        <v>0</v>
      </c>
      <c r="B86">
        <f>187+37</f>
        <v>224</v>
      </c>
      <c r="C86" s="3">
        <f t="shared" si="16"/>
        <v>7.90136751154508</v>
      </c>
      <c r="D86" s="3">
        <f t="shared" si="17"/>
        <v>0.4938354694715675</v>
      </c>
      <c r="E86" s="13" t="s">
        <v>999</v>
      </c>
    </row>
    <row r="87" spans="1:5" ht="12.75">
      <c r="A87">
        <v>0</v>
      </c>
      <c r="B87" s="9">
        <v>324</v>
      </c>
      <c r="C87" s="2">
        <f t="shared" si="16"/>
        <v>11.428763722056276</v>
      </c>
      <c r="D87" s="2">
        <f t="shared" si="17"/>
        <v>0.7142977326285173</v>
      </c>
      <c r="E87" s="12" t="s">
        <v>1170</v>
      </c>
    </row>
    <row r="88" spans="1:5" ht="12.75">
      <c r="A88">
        <v>0</v>
      </c>
      <c r="B88" s="9"/>
      <c r="C88" s="2">
        <f t="shared" si="16"/>
        <v>0</v>
      </c>
      <c r="D88" s="2">
        <f t="shared" si="17"/>
        <v>0</v>
      </c>
      <c r="E88" s="12" t="s">
        <v>1150</v>
      </c>
    </row>
    <row r="89" spans="1:6" ht="12.75">
      <c r="A89">
        <v>0</v>
      </c>
      <c r="B89" s="9">
        <v>26</v>
      </c>
      <c r="C89" s="2">
        <f t="shared" si="16"/>
        <v>0.917123014732911</v>
      </c>
      <c r="D89" s="2">
        <f t="shared" si="17"/>
        <v>0.05732018842080694</v>
      </c>
      <c r="E89" s="11" t="s">
        <v>1810</v>
      </c>
      <c r="F89" s="3"/>
    </row>
    <row r="90" spans="1:5" ht="12.75">
      <c r="A90">
        <v>0</v>
      </c>
      <c r="B90" s="9">
        <v>16</v>
      </c>
      <c r="C90" s="2">
        <f t="shared" si="16"/>
        <v>0.5643833936817914</v>
      </c>
      <c r="D90" s="2">
        <f t="shared" si="17"/>
        <v>0.03527396210511196</v>
      </c>
      <c r="E90" s="11" t="s">
        <v>41</v>
      </c>
    </row>
    <row r="91" spans="2:8" ht="12.75">
      <c r="B91" s="9">
        <f>SUM(B3:B90)</f>
        <v>7805.24468348</v>
      </c>
      <c r="C91" s="2">
        <f t="shared" si="16"/>
        <v>275.3219051862001</v>
      </c>
      <c r="D91" s="2">
        <f t="shared" si="17"/>
        <v>17.207619074137508</v>
      </c>
      <c r="E91" s="11" t="s">
        <v>338</v>
      </c>
      <c r="G91">
        <f>COUNT(B3:B90)</f>
        <v>61</v>
      </c>
      <c r="H91" t="s">
        <v>38</v>
      </c>
    </row>
    <row r="93" spans="2:5" ht="12.75">
      <c r="B93" s="9"/>
      <c r="C93" s="2"/>
      <c r="D93" s="2"/>
      <c r="E93" s="12" t="s">
        <v>1025</v>
      </c>
    </row>
    <row r="94" spans="1:5" ht="12.75">
      <c r="A94">
        <v>0</v>
      </c>
      <c r="B94" s="9">
        <v>50</v>
      </c>
      <c r="C94" s="2">
        <f aca="true" t="shared" si="18" ref="C94:C106">B94/28.349523</f>
        <v>1.763698105255598</v>
      </c>
      <c r="D94" s="2">
        <f aca="true" t="shared" si="19" ref="D94:D106">C94/16</f>
        <v>0.11023113157847488</v>
      </c>
      <c r="E94" s="12" t="s">
        <v>318</v>
      </c>
    </row>
    <row r="95" spans="1:5" ht="12.75">
      <c r="A95">
        <v>0</v>
      </c>
      <c r="B95" s="9">
        <v>107</v>
      </c>
      <c r="C95" s="2">
        <f t="shared" si="18"/>
        <v>3.7743139452469796</v>
      </c>
      <c r="D95" s="2">
        <f t="shared" si="19"/>
        <v>0.23589462157793623</v>
      </c>
      <c r="E95" t="s">
        <v>1554</v>
      </c>
    </row>
    <row r="96" spans="1:5" ht="12.75">
      <c r="A96">
        <v>0</v>
      </c>
      <c r="B96" s="9">
        <v>35</v>
      </c>
      <c r="C96" s="2">
        <f t="shared" si="18"/>
        <v>1.2345886736789187</v>
      </c>
      <c r="D96" s="2">
        <f t="shared" si="19"/>
        <v>0.07716179210493242</v>
      </c>
      <c r="E96" s="12" t="s">
        <v>321</v>
      </c>
    </row>
    <row r="97" spans="1:5" ht="12.75">
      <c r="A97">
        <v>0</v>
      </c>
      <c r="B97" s="9">
        <v>141</v>
      </c>
      <c r="C97" s="2">
        <f t="shared" si="18"/>
        <v>4.973628656820787</v>
      </c>
      <c r="D97" s="2">
        <f t="shared" si="19"/>
        <v>0.3108517910512992</v>
      </c>
      <c r="E97" s="12" t="s">
        <v>1172</v>
      </c>
    </row>
    <row r="98" spans="1:5" ht="12.75">
      <c r="A98">
        <v>0</v>
      </c>
      <c r="B98" s="9">
        <v>55</v>
      </c>
      <c r="C98" s="2">
        <f t="shared" si="18"/>
        <v>1.9400679157811578</v>
      </c>
      <c r="D98" s="2">
        <f t="shared" si="19"/>
        <v>0.12125424473632236</v>
      </c>
      <c r="E98" s="12" t="s">
        <v>319</v>
      </c>
    </row>
    <row r="99" spans="1:9" ht="12.75">
      <c r="A99">
        <v>0</v>
      </c>
      <c r="B99" s="9">
        <v>1468</v>
      </c>
      <c r="C99" s="2">
        <f t="shared" si="18"/>
        <v>51.782176370304356</v>
      </c>
      <c r="D99" s="2">
        <f t="shared" si="19"/>
        <v>3.2363860231440222</v>
      </c>
      <c r="E99" t="s">
        <v>315</v>
      </c>
      <c r="G99" s="9"/>
      <c r="H99" s="3"/>
      <c r="I99" s="3"/>
    </row>
    <row r="100" spans="1:9" ht="12.75">
      <c r="A100">
        <v>0</v>
      </c>
      <c r="B100" s="9">
        <v>35</v>
      </c>
      <c r="C100" s="2">
        <f t="shared" si="18"/>
        <v>1.2345886736789187</v>
      </c>
      <c r="D100" s="2">
        <f t="shared" si="19"/>
        <v>0.07716179210493242</v>
      </c>
      <c r="E100" t="s">
        <v>1412</v>
      </c>
      <c r="G100" s="9"/>
      <c r="H100" s="3"/>
      <c r="I100" s="3"/>
    </row>
    <row r="101" spans="1:5" ht="12.75">
      <c r="A101">
        <v>0</v>
      </c>
      <c r="B101" s="9">
        <v>177</v>
      </c>
      <c r="C101" s="3">
        <f>B101/28.349523</f>
        <v>6.243491292604817</v>
      </c>
      <c r="D101" s="3">
        <f>C101/16</f>
        <v>0.3902182057878011</v>
      </c>
      <c r="E101" t="s">
        <v>374</v>
      </c>
    </row>
    <row r="102" spans="1:5" ht="12.75">
      <c r="A102">
        <v>0</v>
      </c>
      <c r="B102" s="9">
        <v>6</v>
      </c>
      <c r="C102" s="2">
        <f t="shared" si="18"/>
        <v>0.21164377263067177</v>
      </c>
      <c r="D102" s="2">
        <f t="shared" si="19"/>
        <v>0.013227735789416986</v>
      </c>
      <c r="E102" s="12" t="s">
        <v>1518</v>
      </c>
    </row>
    <row r="103" spans="1:5" ht="12.75">
      <c r="A103">
        <v>0</v>
      </c>
      <c r="B103" s="9">
        <v>25</v>
      </c>
      <c r="C103" s="2">
        <f t="shared" si="18"/>
        <v>0.881849052627799</v>
      </c>
      <c r="D103" s="2">
        <f t="shared" si="19"/>
        <v>0.05511556578923744</v>
      </c>
      <c r="E103" t="s">
        <v>1508</v>
      </c>
    </row>
    <row r="104" spans="1:29" ht="12.75">
      <c r="A104">
        <v>0</v>
      </c>
      <c r="B104" s="16">
        <v>53</v>
      </c>
      <c r="C104" s="2">
        <f t="shared" si="18"/>
        <v>1.869519991570934</v>
      </c>
      <c r="D104" s="2">
        <f t="shared" si="19"/>
        <v>0.11684499947318337</v>
      </c>
      <c r="E104" s="11" t="s">
        <v>1069</v>
      </c>
      <c r="AC104" s="9"/>
    </row>
    <row r="105" spans="2:29" ht="12.75">
      <c r="B105" s="9">
        <f>SUM(B94:B104)</f>
        <v>2152</v>
      </c>
      <c r="C105" s="2">
        <f t="shared" si="18"/>
        <v>75.90956645020094</v>
      </c>
      <c r="D105" s="2">
        <f t="shared" si="19"/>
        <v>4.744347903137559</v>
      </c>
      <c r="E105" s="11" t="s">
        <v>1509</v>
      </c>
      <c r="AC105" s="9"/>
    </row>
    <row r="106" spans="2:5" ht="12.75">
      <c r="B106" s="9">
        <f>B91+B105</f>
        <v>9957.24468348</v>
      </c>
      <c r="C106" s="2">
        <f t="shared" si="18"/>
        <v>351.231471636401</v>
      </c>
      <c r="D106" s="2">
        <f t="shared" si="19"/>
        <v>21.951966977275063</v>
      </c>
      <c r="E106" s="11" t="s">
        <v>1511</v>
      </c>
    </row>
    <row r="107" spans="2:29" ht="12.75">
      <c r="B107" s="9"/>
      <c r="C107" s="9"/>
      <c r="D107" s="2"/>
      <c r="E107" s="11"/>
      <c r="AC107" s="9"/>
    </row>
    <row r="108" spans="2:29" ht="12.75">
      <c r="B108" s="9"/>
      <c r="C108" s="9"/>
      <c r="D108" s="2"/>
      <c r="E108" s="11"/>
      <c r="AC108" s="9"/>
    </row>
    <row r="109" spans="2:29" ht="12.75">
      <c r="B109" s="9"/>
      <c r="C109" s="9"/>
      <c r="D109" s="2"/>
      <c r="E109" s="11"/>
      <c r="AC109" s="9"/>
    </row>
    <row r="110" spans="2:29" ht="12.75">
      <c r="B110" s="9"/>
      <c r="C110" s="9"/>
      <c r="D110" s="2"/>
      <c r="E110" s="11"/>
      <c r="AC110" s="9"/>
    </row>
    <row r="111" spans="2:29" ht="12.75">
      <c r="B111" s="9"/>
      <c r="C111" s="9"/>
      <c r="D111" s="2"/>
      <c r="E111" s="11"/>
      <c r="AC111" s="9"/>
    </row>
    <row r="113" spans="2:10" ht="12.75">
      <c r="B113" s="9"/>
      <c r="C113" s="2"/>
      <c r="D113" s="2"/>
      <c r="E113" s="15" t="s">
        <v>1021</v>
      </c>
      <c r="J113" t="s">
        <v>1103</v>
      </c>
    </row>
    <row r="114" spans="2:10" ht="15">
      <c r="B114" s="9" t="s">
        <v>69</v>
      </c>
      <c r="C114" s="2"/>
      <c r="D114" s="2"/>
      <c r="E114" s="11"/>
      <c r="I114" s="31"/>
      <c r="J114" t="s">
        <v>302</v>
      </c>
    </row>
    <row r="115" spans="2:10" ht="15">
      <c r="B115" s="9">
        <v>280</v>
      </c>
      <c r="C115" s="2">
        <f aca="true" t="shared" si="20" ref="C115:C124">B115/28.349523</f>
        <v>9.87670938943135</v>
      </c>
      <c r="D115" s="2">
        <f aca="true" t="shared" si="21" ref="D115:D124">C115/16</f>
        <v>0.6172943368394593</v>
      </c>
      <c r="E115" s="12" t="s">
        <v>1475</v>
      </c>
      <c r="I115" s="31"/>
      <c r="J115" t="s">
        <v>303</v>
      </c>
    </row>
    <row r="116" spans="2:12" ht="12.75">
      <c r="B116" s="9">
        <v>18</v>
      </c>
      <c r="C116" s="2">
        <f t="shared" si="20"/>
        <v>0.6349313178920153</v>
      </c>
      <c r="D116" s="2">
        <f t="shared" si="21"/>
        <v>0.039683207368250956</v>
      </c>
      <c r="E116" s="12" t="s">
        <v>2073</v>
      </c>
      <c r="J116" s="30" t="s">
        <v>304</v>
      </c>
      <c r="K116" s="30"/>
      <c r="L116" s="30"/>
    </row>
    <row r="117" spans="2:10" ht="15">
      <c r="B117" s="9">
        <v>35</v>
      </c>
      <c r="C117" s="2">
        <f t="shared" si="20"/>
        <v>1.2345886736789187</v>
      </c>
      <c r="D117" s="2">
        <f t="shared" si="21"/>
        <v>0.07716179210493242</v>
      </c>
      <c r="E117" t="s">
        <v>1980</v>
      </c>
      <c r="I117" s="31"/>
      <c r="J117" t="s">
        <v>305</v>
      </c>
    </row>
    <row r="118" spans="2:10" ht="15">
      <c r="B118" s="9">
        <v>57</v>
      </c>
      <c r="C118" s="2">
        <f t="shared" si="20"/>
        <v>2.010615839991382</v>
      </c>
      <c r="D118" s="2">
        <f t="shared" si="21"/>
        <v>0.12566348999946136</v>
      </c>
      <c r="E118" s="12" t="s">
        <v>1955</v>
      </c>
      <c r="I118" s="31"/>
      <c r="J118" t="s">
        <v>306</v>
      </c>
    </row>
    <row r="119" spans="2:10" ht="15">
      <c r="B119" s="9">
        <f>112</f>
        <v>112</v>
      </c>
      <c r="C119" s="2">
        <f t="shared" si="20"/>
        <v>3.95068375577254</v>
      </c>
      <c r="D119" s="2">
        <f t="shared" si="21"/>
        <v>0.24691773473578374</v>
      </c>
      <c r="E119" s="12" t="s">
        <v>494</v>
      </c>
      <c r="I119" s="31"/>
      <c r="J119" t="s">
        <v>307</v>
      </c>
    </row>
    <row r="120" spans="2:9" ht="15">
      <c r="B120" s="9">
        <v>753</v>
      </c>
      <c r="C120" s="2">
        <f t="shared" si="20"/>
        <v>26.561293465149305</v>
      </c>
      <c r="D120" s="2">
        <f t="shared" si="21"/>
        <v>1.6600808415718316</v>
      </c>
      <c r="E120" s="12" t="s">
        <v>3</v>
      </c>
      <c r="I120" s="31"/>
    </row>
    <row r="121" spans="2:10" ht="15">
      <c r="B121" s="9">
        <v>207</v>
      </c>
      <c r="C121" s="2">
        <f t="shared" si="20"/>
        <v>7.301710155758176</v>
      </c>
      <c r="D121" s="2">
        <f t="shared" si="21"/>
        <v>0.456356884734886</v>
      </c>
      <c r="E121" s="12" t="s">
        <v>1894</v>
      </c>
      <c r="H121" s="3"/>
      <c r="I121" s="31"/>
      <c r="J121" t="s">
        <v>308</v>
      </c>
    </row>
    <row r="122" spans="2:10" ht="15">
      <c r="B122" s="9">
        <v>125</v>
      </c>
      <c r="C122" s="2">
        <f t="shared" si="20"/>
        <v>4.409245263138995</v>
      </c>
      <c r="D122" s="2">
        <f t="shared" si="21"/>
        <v>0.2755778289461872</v>
      </c>
      <c r="E122" s="12" t="s">
        <v>1171</v>
      </c>
      <c r="I122" s="31"/>
      <c r="J122" t="s">
        <v>309</v>
      </c>
    </row>
    <row r="123" spans="2:5" ht="12.75">
      <c r="B123" s="9">
        <v>7</v>
      </c>
      <c r="C123" s="2">
        <f t="shared" si="20"/>
        <v>0.24691773473578374</v>
      </c>
      <c r="D123" s="2">
        <f t="shared" si="21"/>
        <v>0.015432358420986484</v>
      </c>
      <c r="E123" s="11" t="s">
        <v>70</v>
      </c>
    </row>
    <row r="124" spans="2:10" ht="15">
      <c r="B124" s="9">
        <v>13</v>
      </c>
      <c r="C124" s="2">
        <f t="shared" si="20"/>
        <v>0.4585615073664555</v>
      </c>
      <c r="D124" s="2">
        <f t="shared" si="21"/>
        <v>0.02866009421040347</v>
      </c>
      <c r="E124" s="11" t="s">
        <v>1685</v>
      </c>
      <c r="I124" s="31"/>
      <c r="J124" t="s">
        <v>310</v>
      </c>
    </row>
    <row r="125" spans="2:10" ht="15">
      <c r="B125" s="9"/>
      <c r="C125" s="2"/>
      <c r="D125" s="2"/>
      <c r="E125" s="11" t="s">
        <v>1066</v>
      </c>
      <c r="I125" s="31"/>
      <c r="J125" t="s">
        <v>304</v>
      </c>
    </row>
    <row r="126" spans="3:10" ht="15">
      <c r="C126" s="2"/>
      <c r="D126" s="2"/>
      <c r="I126" s="31"/>
      <c r="J126" t="s">
        <v>305</v>
      </c>
    </row>
    <row r="127" spans="3:10" ht="15">
      <c r="C127" s="2"/>
      <c r="D127" s="2"/>
      <c r="E127" s="12" t="s">
        <v>1686</v>
      </c>
      <c r="I127" s="31"/>
      <c r="J127" t="s">
        <v>306</v>
      </c>
    </row>
    <row r="128" spans="3:10" ht="15">
      <c r="C128" s="2"/>
      <c r="D128" s="2"/>
      <c r="E128" s="12" t="s">
        <v>1564</v>
      </c>
      <c r="I128" s="31"/>
      <c r="J128" t="s">
        <v>307</v>
      </c>
    </row>
    <row r="129" spans="3:9" ht="15">
      <c r="C129" s="2"/>
      <c r="D129" s="2"/>
      <c r="E129" s="12" t="s">
        <v>1695</v>
      </c>
      <c r="I129" s="31"/>
    </row>
    <row r="130" spans="2:10" ht="12.75">
      <c r="B130" s="9"/>
      <c r="C130" s="2"/>
      <c r="D130" s="2"/>
      <c r="E130" s="12" t="s">
        <v>1696</v>
      </c>
      <c r="J130" t="s">
        <v>1423</v>
      </c>
    </row>
    <row r="131" spans="3:10" ht="15">
      <c r="C131" s="2"/>
      <c r="D131" s="2"/>
      <c r="E131" s="12" t="s">
        <v>1697</v>
      </c>
      <c r="I131" s="31"/>
      <c r="J131" t="s">
        <v>2135</v>
      </c>
    </row>
    <row r="132" spans="3:9" ht="15">
      <c r="C132" s="2"/>
      <c r="D132" s="2"/>
      <c r="E132" s="12" t="s">
        <v>959</v>
      </c>
      <c r="I132" s="31"/>
    </row>
    <row r="133" spans="2:11" ht="15">
      <c r="B133" s="9"/>
      <c r="C133" s="2"/>
      <c r="D133" s="2"/>
      <c r="E133" s="12" t="s">
        <v>1996</v>
      </c>
      <c r="I133" s="31"/>
      <c r="J133" s="49" t="s">
        <v>1850</v>
      </c>
      <c r="K133" s="43"/>
    </row>
    <row r="134" spans="2:10" ht="15">
      <c r="B134" s="9"/>
      <c r="C134" s="2"/>
      <c r="D134" s="2"/>
      <c r="E134" s="12" t="s">
        <v>1472</v>
      </c>
      <c r="I134" s="31"/>
      <c r="J134" t="s">
        <v>2136</v>
      </c>
    </row>
    <row r="135" spans="2:10" ht="15">
      <c r="B135" s="9"/>
      <c r="C135" s="2"/>
      <c r="D135" s="2"/>
      <c r="E135" s="12" t="s">
        <v>1998</v>
      </c>
      <c r="I135" s="31"/>
      <c r="J135" t="s">
        <v>2137</v>
      </c>
    </row>
    <row r="136" spans="2:10" ht="12.75">
      <c r="B136" s="9"/>
      <c r="C136" s="2"/>
      <c r="D136" s="2"/>
      <c r="E136" s="12" t="s">
        <v>1999</v>
      </c>
      <c r="J136" t="s">
        <v>2138</v>
      </c>
    </row>
    <row r="137" spans="2:10" ht="15">
      <c r="B137" s="9"/>
      <c r="C137" s="2"/>
      <c r="D137" s="2"/>
      <c r="E137" s="12" t="s">
        <v>2000</v>
      </c>
      <c r="I137" s="31"/>
      <c r="J137" t="s">
        <v>2139</v>
      </c>
    </row>
    <row r="138" spans="2:9" ht="15">
      <c r="B138" s="9"/>
      <c r="C138" s="2"/>
      <c r="D138" s="2"/>
      <c r="I138" s="31"/>
    </row>
    <row r="139" spans="2:10" ht="15">
      <c r="B139" s="9"/>
      <c r="C139" s="2"/>
      <c r="D139" s="2"/>
      <c r="I139" s="31"/>
      <c r="J139" t="s">
        <v>2140</v>
      </c>
    </row>
    <row r="140" spans="2:10" ht="15">
      <c r="B140" s="9"/>
      <c r="C140" s="2"/>
      <c r="D140" s="2"/>
      <c r="E140" s="12" t="s">
        <v>1684</v>
      </c>
      <c r="I140" s="31"/>
      <c r="J140" t="s">
        <v>2141</v>
      </c>
    </row>
    <row r="141" spans="2:9" ht="15">
      <c r="B141" s="9"/>
      <c r="C141" s="2"/>
      <c r="D141" s="2"/>
      <c r="E141" s="12" t="s">
        <v>1690</v>
      </c>
      <c r="I141" s="31"/>
    </row>
    <row r="142" spans="2:5" ht="12.75">
      <c r="B142" s="9"/>
      <c r="C142" s="2"/>
      <c r="D142" s="2"/>
      <c r="E142" s="12" t="s">
        <v>1691</v>
      </c>
    </row>
    <row r="143" spans="2:5" ht="12.75">
      <c r="B143" s="9"/>
      <c r="C143" s="2"/>
      <c r="D143" s="2"/>
      <c r="E143" s="12" t="s">
        <v>1692</v>
      </c>
    </row>
    <row r="144" spans="2:5" ht="12.75">
      <c r="B144" s="9"/>
      <c r="C144" s="2"/>
      <c r="D144" s="2"/>
      <c r="E144" s="12" t="s">
        <v>1563</v>
      </c>
    </row>
    <row r="145" spans="2:5" ht="12.75">
      <c r="B145" s="9"/>
      <c r="C145" s="2"/>
      <c r="D145" s="2"/>
      <c r="E145" s="12" t="s">
        <v>1698</v>
      </c>
    </row>
    <row r="146" spans="2:5" ht="12.75">
      <c r="B146" s="9"/>
      <c r="C146" s="2"/>
      <c r="D146" s="2"/>
      <c r="E146" s="12" t="s">
        <v>1702</v>
      </c>
    </row>
    <row r="147" spans="2:5" ht="12.75">
      <c r="B147" s="9"/>
      <c r="C147" s="2"/>
      <c r="D147" s="2"/>
      <c r="E147" s="12" t="s">
        <v>519</v>
      </c>
    </row>
    <row r="148" spans="2:5" ht="12.75">
      <c r="B148" s="9"/>
      <c r="C148" s="2"/>
      <c r="D148" s="2"/>
      <c r="E148" s="12" t="s">
        <v>1476</v>
      </c>
    </row>
    <row r="149" spans="2:5" ht="12.75">
      <c r="B149" s="9"/>
      <c r="C149" s="2"/>
      <c r="D149" s="2"/>
      <c r="E149" s="11" t="s">
        <v>492</v>
      </c>
    </row>
    <row r="150" ht="12.75">
      <c r="E150" s="11" t="s">
        <v>1811</v>
      </c>
    </row>
    <row r="151" ht="12.75">
      <c r="E151" s="11" t="s">
        <v>1812</v>
      </c>
    </row>
    <row r="152" ht="12.75">
      <c r="E152" s="11" t="s">
        <v>1813</v>
      </c>
    </row>
    <row r="170" ht="12.75">
      <c r="B170" s="9"/>
    </row>
    <row r="171" ht="12.75">
      <c r="B171" s="9"/>
    </row>
    <row r="173" ht="12.75">
      <c r="B173" s="9"/>
    </row>
    <row r="174" ht="12.75">
      <c r="B174" s="9"/>
    </row>
    <row r="175" ht="12.75">
      <c r="B175" s="9"/>
    </row>
    <row r="176" ht="12.75">
      <c r="B176" s="9"/>
    </row>
    <row r="177" ht="12.75">
      <c r="B177" s="9"/>
    </row>
    <row r="181" ht="12.75">
      <c r="E181" s="13"/>
    </row>
    <row r="182" spans="1:5" ht="12.75">
      <c r="A182" s="9"/>
      <c r="E182"/>
    </row>
    <row r="184" spans="1:7" ht="12.75">
      <c r="A184" s="9"/>
      <c r="B184" s="9"/>
      <c r="C184" s="2"/>
      <c r="D184" s="2"/>
      <c r="E184" s="15"/>
      <c r="G184" s="3"/>
    </row>
    <row r="185" spans="2:4" ht="12.75">
      <c r="B185" s="9"/>
      <c r="C185" s="2"/>
      <c r="D185" s="2"/>
    </row>
    <row r="186" spans="2:4" ht="12.75">
      <c r="B186" s="9"/>
      <c r="C186" s="2"/>
      <c r="D186" s="2"/>
    </row>
    <row r="187" spans="2:5" ht="17.25" customHeight="1">
      <c r="B187" s="9"/>
      <c r="C187" s="2"/>
      <c r="D187" s="2"/>
      <c r="E187" s="14"/>
    </row>
    <row r="188" spans="2:5" ht="12.75">
      <c r="B188" s="9"/>
      <c r="C188" s="2"/>
      <c r="D188" s="2"/>
      <c r="E188" s="11"/>
    </row>
    <row r="189" spans="2:5" ht="12.75" customHeight="1">
      <c r="B189" s="9"/>
      <c r="C189" s="2"/>
      <c r="D189" s="2"/>
      <c r="E189" s="11"/>
    </row>
    <row r="190" spans="2:5" ht="12.75" customHeight="1">
      <c r="B190" s="9"/>
      <c r="C190" s="2"/>
      <c r="D190" s="2"/>
      <c r="E190" s="11"/>
    </row>
    <row r="191" spans="2:14" ht="12.75">
      <c r="B191" s="9"/>
      <c r="C191" s="2"/>
      <c r="D191" s="2"/>
      <c r="N191" s="9"/>
    </row>
    <row r="192" spans="2:4" ht="12.75">
      <c r="B192" s="9"/>
      <c r="C192" s="2"/>
      <c r="D192" s="2"/>
    </row>
    <row r="193" spans="2:5" ht="12.75">
      <c r="B193" s="9"/>
      <c r="C193" s="2"/>
      <c r="D193" s="2"/>
      <c r="E193" s="4"/>
    </row>
    <row r="194" spans="2:4" ht="12.75">
      <c r="B194" s="9"/>
      <c r="C194" s="2"/>
      <c r="D194" s="2"/>
    </row>
    <row r="195" spans="2:4" ht="12.75">
      <c r="B195" s="9"/>
      <c r="C195" s="2"/>
      <c r="D195" s="2"/>
    </row>
    <row r="196" spans="2:4" ht="12.75">
      <c r="B196" s="9"/>
      <c r="C196" s="2"/>
      <c r="D196" s="2"/>
    </row>
    <row r="197" spans="2:4" ht="12.75">
      <c r="B197" s="9"/>
      <c r="C197" s="2"/>
      <c r="D197" s="2"/>
    </row>
    <row r="198" spans="2:4" ht="12.75">
      <c r="B198" s="9"/>
      <c r="C198" s="2"/>
      <c r="D198" s="2"/>
    </row>
    <row r="199" spans="2:4" ht="12.75">
      <c r="B199" s="9"/>
      <c r="C199" s="2"/>
      <c r="D199" s="2"/>
    </row>
    <row r="200" spans="2:5" ht="12.75">
      <c r="B200" s="9"/>
      <c r="C200" s="2"/>
      <c r="D200" s="2"/>
      <c r="E200" s="11"/>
    </row>
    <row r="201" spans="2:4" ht="12.75">
      <c r="B201" s="9"/>
      <c r="C201" s="2"/>
      <c r="D201" s="2"/>
    </row>
    <row r="202" spans="2:4" ht="12.75">
      <c r="B202" s="9"/>
      <c r="C202" s="2"/>
      <c r="D202" s="2"/>
    </row>
    <row r="203" spans="2:4" ht="12.75">
      <c r="B203" s="16"/>
      <c r="C203" s="2"/>
      <c r="D203" s="2"/>
    </row>
    <row r="204" spans="2:4" ht="12.75">
      <c r="B204" s="9"/>
      <c r="C204" s="2"/>
      <c r="D204" s="2"/>
    </row>
    <row r="205" spans="2:5" ht="12.75">
      <c r="B205" s="9"/>
      <c r="C205" s="2"/>
      <c r="D205" s="2"/>
      <c r="E205" s="11"/>
    </row>
    <row r="206" spans="2:5" ht="12.75">
      <c r="B206" s="9"/>
      <c r="C206" s="2"/>
      <c r="D206" s="2"/>
      <c r="E206" s="11"/>
    </row>
    <row r="207" spans="2:5" ht="12.75">
      <c r="B207" s="9"/>
      <c r="C207" s="2"/>
      <c r="D207" s="2"/>
      <c r="E207" s="11"/>
    </row>
    <row r="208" spans="2:5" ht="12.75">
      <c r="B208" s="16"/>
      <c r="C208" s="2"/>
      <c r="D208" s="2"/>
      <c r="E208" s="13"/>
    </row>
    <row r="209" spans="2:4" ht="12.75">
      <c r="B209" s="9"/>
      <c r="C209" s="2"/>
      <c r="D209" s="2"/>
    </row>
    <row r="210" ht="12.75">
      <c r="B210" s="9"/>
    </row>
    <row r="211" ht="12.75">
      <c r="B211" s="9"/>
    </row>
    <row r="212" ht="12.75">
      <c r="B212" s="9"/>
    </row>
    <row r="213" ht="12.75">
      <c r="B213" s="9"/>
    </row>
    <row r="214" ht="12.75">
      <c r="B214" s="9"/>
    </row>
    <row r="215" ht="12.75">
      <c r="B215" s="9"/>
    </row>
    <row r="216" ht="12.75">
      <c r="B216" s="9"/>
    </row>
    <row r="217" ht="12.75">
      <c r="B217" s="9"/>
    </row>
    <row r="218" ht="12.75">
      <c r="B218" s="9"/>
    </row>
    <row r="219" ht="12.75">
      <c r="B219" s="9"/>
    </row>
    <row r="220" ht="12.75">
      <c r="B220" s="9"/>
    </row>
    <row r="221" ht="12.75">
      <c r="B221" s="9"/>
    </row>
  </sheetData>
  <printOptions/>
  <pageMargins left="0.5" right="0" top="0.5" bottom="0.5" header="0" footer="0"/>
  <pageSetup fitToHeight="4" fitToWidth="1" horizontalDpi="300" verticalDpi="300" orientation="landscape" scale="73" r:id="rId1"/>
</worksheet>
</file>

<file path=xl/worksheets/sheet31.xml><?xml version="1.0" encoding="utf-8"?>
<worksheet xmlns="http://schemas.openxmlformats.org/spreadsheetml/2006/main" xmlns:r="http://schemas.openxmlformats.org/officeDocument/2006/relationships">
  <dimension ref="A1:AA24"/>
  <sheetViews>
    <sheetView workbookViewId="0" topLeftCell="A1">
      <selection activeCell="Y24" sqref="A1:Y24"/>
    </sheetView>
  </sheetViews>
  <sheetFormatPr defaultColWidth="9.140625" defaultRowHeight="12.75"/>
  <cols>
    <col min="1" max="1" width="7.28125" style="0" bestFit="1" customWidth="1"/>
    <col min="2" max="2" width="4.57421875" style="0" customWidth="1"/>
    <col min="3" max="3" width="20.7109375" style="0" customWidth="1"/>
    <col min="4" max="4" width="3.140625" style="109" customWidth="1"/>
    <col min="5" max="5" width="3.57421875" style="109" customWidth="1"/>
    <col min="6" max="6" width="3.421875" style="0" customWidth="1"/>
    <col min="7" max="7" width="3.8515625" style="0" customWidth="1"/>
    <col min="8" max="8" width="3.57421875" style="0" customWidth="1"/>
    <col min="9" max="9" width="4.28125" style="0" customWidth="1"/>
    <col min="10" max="10" width="3.28125" style="0" customWidth="1"/>
    <col min="11" max="11" width="3.8515625" style="0" customWidth="1"/>
    <col min="12" max="12" width="4.28125" style="0" customWidth="1"/>
    <col min="13" max="14" width="3.7109375" style="0" customWidth="1"/>
    <col min="15" max="16" width="3.421875" style="0" customWidth="1"/>
    <col min="17" max="17" width="4.00390625" style="0" customWidth="1"/>
    <col min="18" max="18" width="4.28125" style="0" customWidth="1"/>
    <col min="19" max="19" width="2.8515625" style="0" customWidth="1"/>
    <col min="20" max="20" width="4.140625" style="0" customWidth="1"/>
    <col min="21" max="21" width="3.8515625" style="0" customWidth="1"/>
    <col min="22" max="22" width="4.57421875" style="0" customWidth="1"/>
    <col min="23" max="23" width="3.140625" style="0" customWidth="1"/>
    <col min="24" max="24" width="3.8515625" style="0" customWidth="1"/>
    <col min="25" max="25" width="4.7109375" style="0" customWidth="1"/>
  </cols>
  <sheetData>
    <row r="1" spans="1:26" ht="42" customHeight="1">
      <c r="A1" s="54" t="s">
        <v>697</v>
      </c>
      <c r="B1" s="54" t="s">
        <v>79</v>
      </c>
      <c r="C1" s="56" t="s">
        <v>2075</v>
      </c>
      <c r="D1" s="111" t="s">
        <v>1647</v>
      </c>
      <c r="E1" s="112" t="s">
        <v>1646</v>
      </c>
      <c r="F1" s="75" t="s">
        <v>1645</v>
      </c>
      <c r="G1" s="75" t="s">
        <v>1644</v>
      </c>
      <c r="H1" s="75" t="s">
        <v>1648</v>
      </c>
      <c r="I1" s="75" t="s">
        <v>1649</v>
      </c>
      <c r="J1" s="75" t="s">
        <v>1650</v>
      </c>
      <c r="K1" s="75" t="s">
        <v>1651</v>
      </c>
      <c r="L1" s="75" t="s">
        <v>1652</v>
      </c>
      <c r="M1" s="75" t="s">
        <v>1653</v>
      </c>
      <c r="N1" s="75" t="s">
        <v>1654</v>
      </c>
      <c r="O1" s="75" t="s">
        <v>1797</v>
      </c>
      <c r="P1" s="75" t="s">
        <v>1631</v>
      </c>
      <c r="Q1" s="75" t="s">
        <v>1632</v>
      </c>
      <c r="R1" s="75" t="s">
        <v>1633</v>
      </c>
      <c r="S1" s="75" t="s">
        <v>572</v>
      </c>
      <c r="T1" s="75" t="s">
        <v>1642</v>
      </c>
      <c r="U1" s="75" t="s">
        <v>575</v>
      </c>
      <c r="V1" s="75" t="s">
        <v>576</v>
      </c>
      <c r="W1" s="75" t="s">
        <v>577</v>
      </c>
      <c r="X1" s="75" t="s">
        <v>578</v>
      </c>
      <c r="Y1" s="75" t="s">
        <v>1643</v>
      </c>
      <c r="Z1" s="1"/>
    </row>
    <row r="2" spans="1:27" ht="12.75">
      <c r="A2" s="57">
        <f>E2*S2</f>
        <v>322.85714285714283</v>
      </c>
      <c r="B2" s="54">
        <v>113</v>
      </c>
      <c r="C2" s="58" t="s">
        <v>2061</v>
      </c>
      <c r="D2" s="113">
        <v>28</v>
      </c>
      <c r="E2" s="114">
        <v>80</v>
      </c>
      <c r="F2" s="54">
        <v>1</v>
      </c>
      <c r="G2" s="62">
        <v>0.5</v>
      </c>
      <c r="H2" s="54">
        <v>25</v>
      </c>
      <c r="I2" s="54">
        <v>7</v>
      </c>
      <c r="J2" s="54">
        <v>6</v>
      </c>
      <c r="K2" s="54">
        <v>10</v>
      </c>
      <c r="L2" s="54">
        <v>0</v>
      </c>
      <c r="M2" s="55">
        <f aca="true" t="shared" si="0" ref="M2:M15">E2/D2</f>
        <v>2.857142857142857</v>
      </c>
      <c r="N2" s="77">
        <f>100*4*K2/E2</f>
        <v>50</v>
      </c>
      <c r="O2" s="57">
        <f>100*9*F2/E2</f>
        <v>11.25</v>
      </c>
      <c r="P2" s="61">
        <f>100*(G2*9)/E2</f>
        <v>5.625</v>
      </c>
      <c r="Q2" s="61">
        <f aca="true" t="shared" si="1" ref="Q2:Q10">100*I2*4/E2</f>
        <v>35</v>
      </c>
      <c r="R2" s="79">
        <f aca="true" t="shared" si="2" ref="R2:R15">100*L2/D2</f>
        <v>0</v>
      </c>
      <c r="S2" s="81">
        <f aca="true" t="shared" si="3" ref="S2:S15">B2/D2</f>
        <v>4.035714285714286</v>
      </c>
      <c r="T2" s="57">
        <f>S2*K2</f>
        <v>40.357142857142854</v>
      </c>
      <c r="U2" s="57">
        <f>S2*F2</f>
        <v>4.035714285714286</v>
      </c>
      <c r="V2" s="57">
        <f>S2*I2</f>
        <v>28.25</v>
      </c>
      <c r="W2" s="57">
        <f>L2*S2</f>
        <v>0</v>
      </c>
      <c r="X2" s="54">
        <f>S2*H2</f>
        <v>100.89285714285714</v>
      </c>
      <c r="Y2" s="55">
        <f>G2*S2</f>
        <v>2.017857142857143</v>
      </c>
      <c r="Z2" s="9"/>
      <c r="AA2" s="9"/>
    </row>
    <row r="3" spans="1:27" ht="12.75">
      <c r="A3" s="57">
        <f>E3*S3</f>
        <v>426.0764705882353</v>
      </c>
      <c r="B3" s="54">
        <v>113</v>
      </c>
      <c r="C3" s="58" t="s">
        <v>1628</v>
      </c>
      <c r="D3" s="113">
        <v>17</v>
      </c>
      <c r="E3" s="114">
        <v>64.1</v>
      </c>
      <c r="F3" s="54">
        <v>0</v>
      </c>
      <c r="G3" s="86">
        <v>0</v>
      </c>
      <c r="H3" s="62">
        <v>0</v>
      </c>
      <c r="I3" s="62">
        <v>15.9</v>
      </c>
      <c r="J3" s="62">
        <v>16</v>
      </c>
      <c r="K3" s="62">
        <v>0</v>
      </c>
      <c r="L3" s="62">
        <v>0</v>
      </c>
      <c r="M3" s="55">
        <f t="shared" si="0"/>
        <v>3.770588235294117</v>
      </c>
      <c r="N3" s="79">
        <f>100*4*K3/E3</f>
        <v>0</v>
      </c>
      <c r="O3" s="57">
        <f>100*9*F3/E3</f>
        <v>0</v>
      </c>
      <c r="P3" s="79">
        <f>100*(G3*9)/E3</f>
        <v>0</v>
      </c>
      <c r="Q3" s="77">
        <f t="shared" si="1"/>
        <v>99.21996879875196</v>
      </c>
      <c r="R3" s="79">
        <f t="shared" si="2"/>
        <v>0</v>
      </c>
      <c r="S3" s="81">
        <f t="shared" si="3"/>
        <v>6.647058823529412</v>
      </c>
      <c r="T3" s="61">
        <f>S3*K3</f>
        <v>0</v>
      </c>
      <c r="U3" s="57">
        <f>S3*F3</f>
        <v>0</v>
      </c>
      <c r="V3" s="57">
        <f>S3*I3</f>
        <v>105.68823529411766</v>
      </c>
      <c r="W3" s="57">
        <f>L3*S3</f>
        <v>0</v>
      </c>
      <c r="X3" s="54">
        <f>S3*H3</f>
        <v>0</v>
      </c>
      <c r="Y3" s="55">
        <f>G3*S3</f>
        <v>0</v>
      </c>
      <c r="Z3" s="9"/>
      <c r="AA3" s="9"/>
    </row>
    <row r="4" spans="1:27" ht="12.75">
      <c r="A4" s="57">
        <f aca="true" t="shared" si="4" ref="A4:A15">E4*S4</f>
        <v>552</v>
      </c>
      <c r="B4" s="57">
        <v>138</v>
      </c>
      <c r="C4" s="58" t="s">
        <v>636</v>
      </c>
      <c r="D4" s="113">
        <v>15</v>
      </c>
      <c r="E4" s="114">
        <v>60</v>
      </c>
      <c r="F4" s="54">
        <v>1</v>
      </c>
      <c r="G4" s="86">
        <v>0</v>
      </c>
      <c r="H4" s="62">
        <v>0</v>
      </c>
      <c r="I4" s="62">
        <v>14</v>
      </c>
      <c r="J4" s="62">
        <v>14</v>
      </c>
      <c r="K4" s="62">
        <v>0</v>
      </c>
      <c r="L4" s="62">
        <v>0</v>
      </c>
      <c r="M4" s="55">
        <f t="shared" si="0"/>
        <v>4</v>
      </c>
      <c r="N4" s="79">
        <f aca="true" t="shared" si="5" ref="N4:N15">100*4*K4/E4</f>
        <v>0</v>
      </c>
      <c r="O4" s="57">
        <f aca="true" t="shared" si="6" ref="O4:O15">100*9*F4/E4</f>
        <v>15</v>
      </c>
      <c r="P4" s="79">
        <f aca="true" t="shared" si="7" ref="P4:P15">100*(G4*9)/E4</f>
        <v>0</v>
      </c>
      <c r="Q4" s="77">
        <f t="shared" si="1"/>
        <v>93.33333333333333</v>
      </c>
      <c r="R4" s="79">
        <f t="shared" si="2"/>
        <v>0</v>
      </c>
      <c r="S4" s="81">
        <f t="shared" si="3"/>
        <v>9.2</v>
      </c>
      <c r="T4" s="61">
        <f aca="true" t="shared" si="8" ref="T4:T15">S4*K4</f>
        <v>0</v>
      </c>
      <c r="U4" s="57">
        <f aca="true" t="shared" si="9" ref="U4:U15">S4*F4</f>
        <v>9.2</v>
      </c>
      <c r="V4" s="57">
        <f aca="true" t="shared" si="10" ref="V4:V15">S4*I4</f>
        <v>128.79999999999998</v>
      </c>
      <c r="W4" s="57">
        <f aca="true" t="shared" si="11" ref="W4:W15">L4*S4</f>
        <v>0</v>
      </c>
      <c r="X4" s="54">
        <f aca="true" t="shared" si="12" ref="X4:X15">S4*H4</f>
        <v>0</v>
      </c>
      <c r="Y4" s="55">
        <f aca="true" t="shared" si="13" ref="Y4:Y15">G4*S4</f>
        <v>0</v>
      </c>
      <c r="Z4" s="9"/>
      <c r="AA4" s="9"/>
    </row>
    <row r="5" spans="1:27" ht="12.75">
      <c r="A5" s="57">
        <f t="shared" si="4"/>
        <v>280</v>
      </c>
      <c r="B5" s="54">
        <f>2*35</f>
        <v>70</v>
      </c>
      <c r="C5" s="58" t="s">
        <v>2050</v>
      </c>
      <c r="D5" s="113">
        <v>35</v>
      </c>
      <c r="E5" s="114">
        <v>140</v>
      </c>
      <c r="F5" s="54">
        <v>4</v>
      </c>
      <c r="G5" s="86">
        <v>0.5</v>
      </c>
      <c r="H5" s="62">
        <v>0</v>
      </c>
      <c r="I5" s="62">
        <v>25</v>
      </c>
      <c r="J5" s="62">
        <v>13</v>
      </c>
      <c r="K5" s="62">
        <v>3</v>
      </c>
      <c r="L5" s="62">
        <v>1</v>
      </c>
      <c r="M5" s="55">
        <f t="shared" si="0"/>
        <v>4</v>
      </c>
      <c r="N5" s="61">
        <f t="shared" si="5"/>
        <v>8.571428571428571</v>
      </c>
      <c r="O5" s="57">
        <f t="shared" si="6"/>
        <v>25.714285714285715</v>
      </c>
      <c r="P5" s="61">
        <f t="shared" si="7"/>
        <v>3.2142857142857144</v>
      </c>
      <c r="Q5" s="61">
        <f t="shared" si="1"/>
        <v>71.42857142857143</v>
      </c>
      <c r="R5" s="57">
        <f t="shared" si="2"/>
        <v>2.857142857142857</v>
      </c>
      <c r="S5" s="81">
        <f t="shared" si="3"/>
        <v>2</v>
      </c>
      <c r="T5" s="61">
        <f t="shared" si="8"/>
        <v>6</v>
      </c>
      <c r="U5" s="57">
        <f t="shared" si="9"/>
        <v>8</v>
      </c>
      <c r="V5" s="57">
        <f t="shared" si="10"/>
        <v>50</v>
      </c>
      <c r="W5" s="57">
        <f t="shared" si="11"/>
        <v>2</v>
      </c>
      <c r="X5" s="54">
        <f t="shared" si="12"/>
        <v>0</v>
      </c>
      <c r="Y5" s="55">
        <f t="shared" si="13"/>
        <v>1</v>
      </c>
      <c r="Z5" s="9"/>
      <c r="AA5" s="9"/>
    </row>
    <row r="6" spans="1:27" ht="12.75">
      <c r="A6" s="57">
        <f t="shared" si="4"/>
        <v>600</v>
      </c>
      <c r="B6" s="57">
        <v>150</v>
      </c>
      <c r="C6" s="58" t="s">
        <v>1314</v>
      </c>
      <c r="D6" s="113">
        <v>25</v>
      </c>
      <c r="E6" s="114">
        <v>100</v>
      </c>
      <c r="F6" s="54">
        <v>3</v>
      </c>
      <c r="G6" s="86">
        <v>1.5</v>
      </c>
      <c r="H6" s="54">
        <v>5</v>
      </c>
      <c r="I6" s="54">
        <v>17</v>
      </c>
      <c r="J6" s="54">
        <v>14</v>
      </c>
      <c r="K6" s="54">
        <v>1</v>
      </c>
      <c r="L6" s="54">
        <v>0.5</v>
      </c>
      <c r="M6" s="86">
        <f t="shared" si="0"/>
        <v>4</v>
      </c>
      <c r="N6" s="79">
        <f t="shared" si="5"/>
        <v>4</v>
      </c>
      <c r="O6" s="61">
        <f t="shared" si="6"/>
        <v>27</v>
      </c>
      <c r="P6" s="61">
        <f t="shared" si="7"/>
        <v>13.5</v>
      </c>
      <c r="Q6" s="61">
        <f t="shared" si="1"/>
        <v>68</v>
      </c>
      <c r="R6" s="61">
        <f t="shared" si="2"/>
        <v>2</v>
      </c>
      <c r="S6" s="81">
        <f t="shared" si="3"/>
        <v>6</v>
      </c>
      <c r="T6" s="61">
        <f t="shared" si="8"/>
        <v>6</v>
      </c>
      <c r="U6" s="57">
        <f t="shared" si="9"/>
        <v>18</v>
      </c>
      <c r="V6" s="57">
        <f t="shared" si="10"/>
        <v>102</v>
      </c>
      <c r="W6" s="61">
        <f t="shared" si="11"/>
        <v>3</v>
      </c>
      <c r="X6" s="54">
        <f t="shared" si="12"/>
        <v>30</v>
      </c>
      <c r="Y6" s="55">
        <f t="shared" si="13"/>
        <v>9</v>
      </c>
      <c r="Z6" s="9"/>
      <c r="AA6" s="9"/>
    </row>
    <row r="7" spans="1:25" ht="12.75">
      <c r="A7" s="57">
        <f t="shared" si="4"/>
        <v>1029.6</v>
      </c>
      <c r="B7" s="57">
        <f>198</f>
        <v>198</v>
      </c>
      <c r="C7" s="58" t="s">
        <v>2051</v>
      </c>
      <c r="D7" s="113">
        <v>25</v>
      </c>
      <c r="E7" s="114">
        <v>130</v>
      </c>
      <c r="F7" s="54">
        <v>7</v>
      </c>
      <c r="G7" s="86">
        <v>3.5</v>
      </c>
      <c r="H7" s="54">
        <v>4</v>
      </c>
      <c r="I7" s="54">
        <v>16</v>
      </c>
      <c r="J7" s="54">
        <v>8</v>
      </c>
      <c r="K7" s="54">
        <v>1</v>
      </c>
      <c r="L7" s="54">
        <v>0.5</v>
      </c>
      <c r="M7" s="86">
        <f t="shared" si="0"/>
        <v>5.2</v>
      </c>
      <c r="N7" s="79">
        <f t="shared" si="5"/>
        <v>3.076923076923077</v>
      </c>
      <c r="O7" s="61">
        <f t="shared" si="6"/>
        <v>48.46153846153846</v>
      </c>
      <c r="P7" s="61">
        <f t="shared" si="7"/>
        <v>24.23076923076923</v>
      </c>
      <c r="Q7" s="61">
        <f t="shared" si="1"/>
        <v>49.23076923076923</v>
      </c>
      <c r="R7" s="61">
        <f t="shared" si="2"/>
        <v>2</v>
      </c>
      <c r="S7" s="81">
        <f t="shared" si="3"/>
        <v>7.92</v>
      </c>
      <c r="T7" s="61">
        <f t="shared" si="8"/>
        <v>7.92</v>
      </c>
      <c r="U7" s="57">
        <f t="shared" si="9"/>
        <v>55.44</v>
      </c>
      <c r="V7" s="57">
        <f t="shared" si="10"/>
        <v>126.72</v>
      </c>
      <c r="W7" s="61">
        <f t="shared" si="11"/>
        <v>3.96</v>
      </c>
      <c r="X7" s="54">
        <f t="shared" si="12"/>
        <v>31.68</v>
      </c>
      <c r="Y7" s="55">
        <f t="shared" si="13"/>
        <v>27.72</v>
      </c>
    </row>
    <row r="8" spans="1:27" ht="12.75">
      <c r="A8" s="57">
        <f t="shared" si="4"/>
        <v>550</v>
      </c>
      <c r="B8" s="54">
        <v>100</v>
      </c>
      <c r="C8" s="58" t="s">
        <v>2052</v>
      </c>
      <c r="D8" s="113">
        <v>40</v>
      </c>
      <c r="E8" s="114">
        <v>220</v>
      </c>
      <c r="F8" s="54">
        <v>13</v>
      </c>
      <c r="G8" s="86">
        <v>8</v>
      </c>
      <c r="H8" s="54">
        <v>0</v>
      </c>
      <c r="I8" s="54">
        <v>23</v>
      </c>
      <c r="J8" s="54">
        <v>23</v>
      </c>
      <c r="K8" s="54">
        <v>2</v>
      </c>
      <c r="L8" s="54">
        <v>0</v>
      </c>
      <c r="M8" s="55">
        <f t="shared" si="0"/>
        <v>5.5</v>
      </c>
      <c r="N8" s="79">
        <f t="shared" si="5"/>
        <v>3.6363636363636362</v>
      </c>
      <c r="O8" s="57">
        <f t="shared" si="6"/>
        <v>53.18181818181818</v>
      </c>
      <c r="P8" s="77">
        <f t="shared" si="7"/>
        <v>32.72727272727273</v>
      </c>
      <c r="Q8" s="61">
        <f t="shared" si="1"/>
        <v>41.81818181818182</v>
      </c>
      <c r="R8" s="79">
        <f t="shared" si="2"/>
        <v>0</v>
      </c>
      <c r="S8" s="81">
        <f t="shared" si="3"/>
        <v>2.5</v>
      </c>
      <c r="T8" s="57">
        <f t="shared" si="8"/>
        <v>5</v>
      </c>
      <c r="U8" s="57">
        <f t="shared" si="9"/>
        <v>32.5</v>
      </c>
      <c r="V8" s="57">
        <f t="shared" si="10"/>
        <v>57.5</v>
      </c>
      <c r="W8" s="57">
        <f t="shared" si="11"/>
        <v>0</v>
      </c>
      <c r="X8" s="54">
        <f t="shared" si="12"/>
        <v>0</v>
      </c>
      <c r="Y8" s="55">
        <f t="shared" si="13"/>
        <v>20</v>
      </c>
      <c r="AA8" s="9"/>
    </row>
    <row r="9" spans="1:27" ht="12.75">
      <c r="A9" s="57">
        <f t="shared" si="4"/>
        <v>280</v>
      </c>
      <c r="B9" s="54">
        <f>2*35</f>
        <v>70</v>
      </c>
      <c r="C9" s="58" t="s">
        <v>382</v>
      </c>
      <c r="D9" s="113">
        <v>35</v>
      </c>
      <c r="E9" s="114">
        <v>140</v>
      </c>
      <c r="F9" s="57">
        <v>3.5</v>
      </c>
      <c r="G9" s="86">
        <v>0</v>
      </c>
      <c r="H9" s="62">
        <v>0</v>
      </c>
      <c r="I9" s="62">
        <v>26</v>
      </c>
      <c r="J9" s="62">
        <v>13</v>
      </c>
      <c r="K9" s="62">
        <v>2</v>
      </c>
      <c r="L9" s="62">
        <v>1</v>
      </c>
      <c r="M9" s="55">
        <f t="shared" si="0"/>
        <v>4</v>
      </c>
      <c r="N9" s="61">
        <f t="shared" si="5"/>
        <v>5.714285714285714</v>
      </c>
      <c r="O9" s="57">
        <f t="shared" si="6"/>
        <v>22.5</v>
      </c>
      <c r="P9" s="61">
        <f t="shared" si="7"/>
        <v>0</v>
      </c>
      <c r="Q9" s="61">
        <f t="shared" si="1"/>
        <v>74.28571428571429</v>
      </c>
      <c r="R9" s="57">
        <f t="shared" si="2"/>
        <v>2.857142857142857</v>
      </c>
      <c r="S9" s="81">
        <f t="shared" si="3"/>
        <v>2</v>
      </c>
      <c r="T9" s="61">
        <f t="shared" si="8"/>
        <v>4</v>
      </c>
      <c r="U9" s="57">
        <f t="shared" si="9"/>
        <v>7</v>
      </c>
      <c r="V9" s="57">
        <f t="shared" si="10"/>
        <v>52</v>
      </c>
      <c r="W9" s="57">
        <f t="shared" si="11"/>
        <v>2</v>
      </c>
      <c r="X9" s="54">
        <f t="shared" si="12"/>
        <v>0</v>
      </c>
      <c r="Y9" s="55">
        <f t="shared" si="13"/>
        <v>0</v>
      </c>
      <c r="Z9" s="9"/>
      <c r="AA9" s="9"/>
    </row>
    <row r="10" spans="1:27" ht="12.75">
      <c r="A10" s="57">
        <f t="shared" si="4"/>
        <v>190</v>
      </c>
      <c r="B10" s="54">
        <v>50</v>
      </c>
      <c r="C10" s="58" t="s">
        <v>1467</v>
      </c>
      <c r="D10" s="113">
        <v>50</v>
      </c>
      <c r="E10" s="114">
        <v>190</v>
      </c>
      <c r="F10" s="54">
        <v>6</v>
      </c>
      <c r="G10" s="86">
        <v>3</v>
      </c>
      <c r="H10" s="62">
        <v>0</v>
      </c>
      <c r="I10" s="62">
        <v>22</v>
      </c>
      <c r="J10" s="62">
        <v>17</v>
      </c>
      <c r="K10" s="62">
        <v>14</v>
      </c>
      <c r="L10" s="62">
        <v>0</v>
      </c>
      <c r="M10" s="55">
        <f t="shared" si="0"/>
        <v>3.8</v>
      </c>
      <c r="N10" s="61">
        <f t="shared" si="5"/>
        <v>29.473684210526315</v>
      </c>
      <c r="O10" s="57">
        <f t="shared" si="6"/>
        <v>28.42105263157895</v>
      </c>
      <c r="P10" s="61">
        <f t="shared" si="7"/>
        <v>14.210526315789474</v>
      </c>
      <c r="Q10" s="61">
        <f t="shared" si="1"/>
        <v>46.31578947368421</v>
      </c>
      <c r="R10" s="79">
        <f t="shared" si="2"/>
        <v>0</v>
      </c>
      <c r="S10" s="81">
        <f t="shared" si="3"/>
        <v>1</v>
      </c>
      <c r="T10" s="57">
        <f t="shared" si="8"/>
        <v>14</v>
      </c>
      <c r="U10" s="57">
        <f t="shared" si="9"/>
        <v>6</v>
      </c>
      <c r="V10" s="57">
        <f t="shared" si="10"/>
        <v>22</v>
      </c>
      <c r="W10" s="57">
        <f t="shared" si="11"/>
        <v>0</v>
      </c>
      <c r="X10" s="54">
        <f t="shared" si="12"/>
        <v>0</v>
      </c>
      <c r="Y10" s="55">
        <f t="shared" si="13"/>
        <v>3</v>
      </c>
      <c r="Z10" s="9"/>
      <c r="AA10" s="9"/>
    </row>
    <row r="11" spans="1:27" ht="12.75">
      <c r="A11" s="57">
        <f t="shared" si="4"/>
        <v>210</v>
      </c>
      <c r="B11" s="54">
        <v>50</v>
      </c>
      <c r="C11" s="58" t="s">
        <v>1321</v>
      </c>
      <c r="D11" s="113">
        <v>50</v>
      </c>
      <c r="E11" s="114">
        <v>210</v>
      </c>
      <c r="F11" s="54">
        <v>7</v>
      </c>
      <c r="G11" s="86">
        <v>4.5</v>
      </c>
      <c r="H11" s="54">
        <v>3</v>
      </c>
      <c r="I11" s="54">
        <v>21</v>
      </c>
      <c r="J11" s="54">
        <v>14</v>
      </c>
      <c r="K11" s="54">
        <v>15</v>
      </c>
      <c r="L11" s="54">
        <v>0.5</v>
      </c>
      <c r="M11" s="55">
        <f t="shared" si="0"/>
        <v>4.2</v>
      </c>
      <c r="N11" s="61">
        <f t="shared" si="5"/>
        <v>28.571428571428573</v>
      </c>
      <c r="O11" s="57">
        <f t="shared" si="6"/>
        <v>30</v>
      </c>
      <c r="P11" s="77">
        <f t="shared" si="7"/>
        <v>19.285714285714285</v>
      </c>
      <c r="Q11" s="61">
        <f>100*I11*4/E11</f>
        <v>40</v>
      </c>
      <c r="R11" s="57">
        <f t="shared" si="2"/>
        <v>1</v>
      </c>
      <c r="S11" s="81">
        <f t="shared" si="3"/>
        <v>1</v>
      </c>
      <c r="T11" s="61">
        <f t="shared" si="8"/>
        <v>15</v>
      </c>
      <c r="U11" s="57">
        <f t="shared" si="9"/>
        <v>7</v>
      </c>
      <c r="V11" s="57">
        <f t="shared" si="10"/>
        <v>21</v>
      </c>
      <c r="W11" s="61">
        <f t="shared" si="11"/>
        <v>0.5</v>
      </c>
      <c r="X11" s="54">
        <f t="shared" si="12"/>
        <v>3</v>
      </c>
      <c r="Y11" s="55">
        <f t="shared" si="13"/>
        <v>4.5</v>
      </c>
      <c r="Z11" s="11"/>
      <c r="AA11" s="9"/>
    </row>
    <row r="12" spans="1:27" ht="12.75">
      <c r="A12" s="57">
        <f t="shared" si="4"/>
        <v>420</v>
      </c>
      <c r="B12" s="57">
        <f>2*53.2</f>
        <v>106.4</v>
      </c>
      <c r="C12" s="58" t="s">
        <v>1629</v>
      </c>
      <c r="D12" s="113">
        <v>53.2</v>
      </c>
      <c r="E12" s="114">
        <v>210</v>
      </c>
      <c r="F12" s="54">
        <v>6</v>
      </c>
      <c r="G12" s="86">
        <v>1</v>
      </c>
      <c r="H12" s="54">
        <v>0</v>
      </c>
      <c r="I12" s="54">
        <v>29</v>
      </c>
      <c r="J12" s="54">
        <v>14</v>
      </c>
      <c r="K12" s="54">
        <v>8</v>
      </c>
      <c r="L12" s="54">
        <v>5</v>
      </c>
      <c r="M12" s="55">
        <f t="shared" si="0"/>
        <v>3.9473684210526314</v>
      </c>
      <c r="N12" s="61">
        <f t="shared" si="5"/>
        <v>15.238095238095237</v>
      </c>
      <c r="O12" s="57">
        <f t="shared" si="6"/>
        <v>25.714285714285715</v>
      </c>
      <c r="P12" s="61">
        <f t="shared" si="7"/>
        <v>4.285714285714286</v>
      </c>
      <c r="Q12" s="61">
        <f>100*I12*4/E12</f>
        <v>55.23809523809524</v>
      </c>
      <c r="R12" s="61">
        <f t="shared" si="2"/>
        <v>9.398496240601503</v>
      </c>
      <c r="S12" s="81">
        <f t="shared" si="3"/>
        <v>2</v>
      </c>
      <c r="T12" s="61">
        <f t="shared" si="8"/>
        <v>16</v>
      </c>
      <c r="U12" s="57">
        <f t="shared" si="9"/>
        <v>12</v>
      </c>
      <c r="V12" s="57">
        <f t="shared" si="10"/>
        <v>58</v>
      </c>
      <c r="W12" s="61">
        <f t="shared" si="11"/>
        <v>10</v>
      </c>
      <c r="X12" s="54">
        <f t="shared" si="12"/>
        <v>0</v>
      </c>
      <c r="Y12" s="55">
        <f t="shared" si="13"/>
        <v>2</v>
      </c>
      <c r="Z12" s="11"/>
      <c r="AA12" s="9"/>
    </row>
    <row r="13" spans="1:27" ht="12.75">
      <c r="A13" s="57">
        <f t="shared" si="4"/>
        <v>1026.0714285714284</v>
      </c>
      <c r="B13" s="54">
        <v>169</v>
      </c>
      <c r="C13" s="58" t="s">
        <v>1845</v>
      </c>
      <c r="D13" s="113">
        <v>28</v>
      </c>
      <c r="E13" s="114">
        <v>170</v>
      </c>
      <c r="F13" s="54">
        <v>13</v>
      </c>
      <c r="G13" s="55">
        <v>3</v>
      </c>
      <c r="H13" s="54">
        <v>0</v>
      </c>
      <c r="I13" s="54">
        <v>9</v>
      </c>
      <c r="J13" s="54">
        <v>2</v>
      </c>
      <c r="K13" s="54">
        <v>5</v>
      </c>
      <c r="L13" s="54">
        <v>1</v>
      </c>
      <c r="M13" s="76">
        <f t="shared" si="0"/>
        <v>6.071428571428571</v>
      </c>
      <c r="N13" s="57">
        <f t="shared" si="5"/>
        <v>11.764705882352942</v>
      </c>
      <c r="O13" s="57">
        <f t="shared" si="6"/>
        <v>68.82352941176471</v>
      </c>
      <c r="P13" s="77">
        <f t="shared" si="7"/>
        <v>15.882352941176471</v>
      </c>
      <c r="Q13" s="61">
        <f>100*I13*4/E13</f>
        <v>21.176470588235293</v>
      </c>
      <c r="R13" s="57">
        <f t="shared" si="2"/>
        <v>3.5714285714285716</v>
      </c>
      <c r="S13" s="81">
        <f t="shared" si="3"/>
        <v>6.035714285714286</v>
      </c>
      <c r="T13" s="57">
        <f t="shared" si="8"/>
        <v>30.178571428571427</v>
      </c>
      <c r="U13" s="57">
        <f t="shared" si="9"/>
        <v>78.46428571428571</v>
      </c>
      <c r="V13" s="57">
        <f t="shared" si="10"/>
        <v>54.32142857142857</v>
      </c>
      <c r="W13" s="57">
        <f t="shared" si="11"/>
        <v>6.035714285714286</v>
      </c>
      <c r="X13" s="54">
        <f t="shared" si="12"/>
        <v>0</v>
      </c>
      <c r="Y13" s="55">
        <f t="shared" si="13"/>
        <v>18.107142857142858</v>
      </c>
      <c r="Z13" s="9"/>
      <c r="AA13" s="9"/>
    </row>
    <row r="14" spans="1:27" ht="12.75">
      <c r="A14" s="57">
        <f t="shared" si="4"/>
        <v>294.6666666666667</v>
      </c>
      <c r="B14" s="54">
        <v>52</v>
      </c>
      <c r="C14" s="58" t="s">
        <v>1630</v>
      </c>
      <c r="D14" s="113">
        <v>30</v>
      </c>
      <c r="E14" s="114">
        <v>170</v>
      </c>
      <c r="F14" s="54">
        <v>15</v>
      </c>
      <c r="G14" s="86">
        <v>1</v>
      </c>
      <c r="H14" s="54">
        <v>0</v>
      </c>
      <c r="I14" s="54">
        <v>5</v>
      </c>
      <c r="J14" s="54">
        <v>1</v>
      </c>
      <c r="K14" s="54">
        <v>7</v>
      </c>
      <c r="L14" s="54">
        <v>4</v>
      </c>
      <c r="M14" s="55">
        <f t="shared" si="0"/>
        <v>5.666666666666667</v>
      </c>
      <c r="N14" s="57">
        <f t="shared" si="5"/>
        <v>16.470588235294116</v>
      </c>
      <c r="O14" s="77">
        <f t="shared" si="6"/>
        <v>79.41176470588235</v>
      </c>
      <c r="P14" s="79">
        <f t="shared" si="7"/>
        <v>5.294117647058823</v>
      </c>
      <c r="Q14" s="61">
        <f>100*I14*4/E14</f>
        <v>11.764705882352942</v>
      </c>
      <c r="R14" s="77">
        <f t="shared" si="2"/>
        <v>13.333333333333334</v>
      </c>
      <c r="S14" s="81">
        <f t="shared" si="3"/>
        <v>1.7333333333333334</v>
      </c>
      <c r="T14" s="57">
        <f t="shared" si="8"/>
        <v>12.133333333333333</v>
      </c>
      <c r="U14" s="57">
        <f t="shared" si="9"/>
        <v>26</v>
      </c>
      <c r="V14" s="57">
        <f t="shared" si="10"/>
        <v>8.666666666666668</v>
      </c>
      <c r="W14" s="57">
        <f t="shared" si="11"/>
        <v>6.933333333333334</v>
      </c>
      <c r="X14" s="54">
        <f t="shared" si="12"/>
        <v>0</v>
      </c>
      <c r="Y14" s="55">
        <f t="shared" si="13"/>
        <v>1.7333333333333334</v>
      </c>
      <c r="Z14" s="9"/>
      <c r="AA14" s="9"/>
    </row>
    <row r="15" spans="1:27" ht="12.75">
      <c r="A15" s="57">
        <f t="shared" si="4"/>
        <v>420</v>
      </c>
      <c r="B15" s="54">
        <v>70</v>
      </c>
      <c r="C15" s="58" t="s">
        <v>564</v>
      </c>
      <c r="D15" s="113">
        <v>30</v>
      </c>
      <c r="E15" s="114">
        <v>180</v>
      </c>
      <c r="F15" s="54">
        <v>13</v>
      </c>
      <c r="G15" s="86">
        <v>1.5</v>
      </c>
      <c r="H15" s="54">
        <v>0</v>
      </c>
      <c r="I15" s="54">
        <v>9</v>
      </c>
      <c r="J15" s="54">
        <v>2</v>
      </c>
      <c r="K15" s="54">
        <v>6</v>
      </c>
      <c r="L15" s="54">
        <v>3</v>
      </c>
      <c r="M15" s="76">
        <f t="shared" si="0"/>
        <v>6</v>
      </c>
      <c r="N15" s="57">
        <f t="shared" si="5"/>
        <v>13.333333333333334</v>
      </c>
      <c r="O15" s="61">
        <f t="shared" si="6"/>
        <v>65</v>
      </c>
      <c r="P15" s="61">
        <f t="shared" si="7"/>
        <v>7.5</v>
      </c>
      <c r="Q15" s="61">
        <f>100*I15*4/E15</f>
        <v>20</v>
      </c>
      <c r="R15" s="77">
        <f t="shared" si="2"/>
        <v>10</v>
      </c>
      <c r="S15" s="81">
        <f t="shared" si="3"/>
        <v>2.3333333333333335</v>
      </c>
      <c r="T15" s="57">
        <f t="shared" si="8"/>
        <v>14</v>
      </c>
      <c r="U15" s="57">
        <f t="shared" si="9"/>
        <v>30.333333333333336</v>
      </c>
      <c r="V15" s="57">
        <f t="shared" si="10"/>
        <v>21</v>
      </c>
      <c r="W15" s="57">
        <f t="shared" si="11"/>
        <v>7</v>
      </c>
      <c r="X15" s="57">
        <f t="shared" si="12"/>
        <v>0</v>
      </c>
      <c r="Y15" s="55">
        <f t="shared" si="13"/>
        <v>3.5</v>
      </c>
      <c r="Z15" s="9"/>
      <c r="AA15" s="9"/>
    </row>
    <row r="16" spans="1:27" ht="12.75">
      <c r="A16" s="57"/>
      <c r="B16" s="54"/>
      <c r="C16" s="58"/>
      <c r="D16" s="113"/>
      <c r="E16" s="114"/>
      <c r="F16" s="54"/>
      <c r="G16" s="62"/>
      <c r="H16" s="54"/>
      <c r="I16" s="54"/>
      <c r="J16" s="54"/>
      <c r="K16" s="54"/>
      <c r="L16" s="54"/>
      <c r="M16" s="55"/>
      <c r="N16" s="57"/>
      <c r="O16" s="77"/>
      <c r="P16" s="61"/>
      <c r="Q16" s="57"/>
      <c r="R16" s="77"/>
      <c r="S16" s="55"/>
      <c r="T16" s="57"/>
      <c r="U16" s="57"/>
      <c r="V16" s="57"/>
      <c r="W16" s="57"/>
      <c r="X16" s="54"/>
      <c r="Y16" s="57"/>
      <c r="Z16" s="9"/>
      <c r="AA16" s="9"/>
    </row>
    <row r="17" spans="1:25" ht="12.75">
      <c r="A17" s="57">
        <f>SUM(A2:A16)</f>
        <v>6601.271708683473</v>
      </c>
      <c r="B17" s="113">
        <f>SUM(B2:B16)</f>
        <v>1449.4</v>
      </c>
      <c r="C17" s="58" t="s">
        <v>1507</v>
      </c>
      <c r="D17" s="114"/>
      <c r="E17" s="114"/>
      <c r="F17" s="54"/>
      <c r="G17" s="54"/>
      <c r="H17" s="87"/>
      <c r="I17" s="87"/>
      <c r="J17" s="87"/>
      <c r="K17" s="57"/>
      <c r="L17" s="54"/>
      <c r="M17" s="87"/>
      <c r="N17" s="54"/>
      <c r="O17" s="54"/>
      <c r="P17" s="54"/>
      <c r="Q17" s="54"/>
      <c r="R17" s="54"/>
      <c r="S17" s="54"/>
      <c r="T17" s="57">
        <f aca="true" t="shared" si="14" ref="T17:Y17">SUM(T2:T16)</f>
        <v>170.5890476190476</v>
      </c>
      <c r="U17" s="57">
        <f t="shared" si="14"/>
        <v>293.9733333333333</v>
      </c>
      <c r="V17" s="57">
        <f t="shared" si="14"/>
        <v>835.9463305322129</v>
      </c>
      <c r="W17" s="57">
        <f t="shared" si="14"/>
        <v>41.42904761904762</v>
      </c>
      <c r="X17" s="57">
        <f t="shared" si="14"/>
        <v>165.57285714285715</v>
      </c>
      <c r="Y17" s="57">
        <f t="shared" si="14"/>
        <v>92.57833333333333</v>
      </c>
    </row>
    <row r="18" spans="1:25" ht="12.75">
      <c r="A18" s="57">
        <f>T18+U18+V18</f>
        <v>6671.901512605042</v>
      </c>
      <c r="B18" s="54"/>
      <c r="C18" s="56"/>
      <c r="D18" s="115">
        <v>1.66</v>
      </c>
      <c r="E18" s="114" t="s">
        <v>534</v>
      </c>
      <c r="F18" s="54"/>
      <c r="G18" s="88">
        <f>A17/D18</f>
        <v>3976.669704026189</v>
      </c>
      <c r="H18" s="54" t="s">
        <v>536</v>
      </c>
      <c r="I18" s="54"/>
      <c r="J18" s="116">
        <f>T17/D18</f>
        <v>102.76448651749855</v>
      </c>
      <c r="K18" s="54" t="s">
        <v>535</v>
      </c>
      <c r="L18" s="54"/>
      <c r="M18" s="54">
        <f>W17/D18</f>
        <v>24.95725760183592</v>
      </c>
      <c r="N18" s="54" t="s">
        <v>554</v>
      </c>
      <c r="O18" s="54"/>
      <c r="P18" s="54">
        <f>Y17/D18</f>
        <v>55.77008032128514</v>
      </c>
      <c r="Q18" s="54" t="s">
        <v>555</v>
      </c>
      <c r="R18" s="54"/>
      <c r="S18" s="54"/>
      <c r="T18" s="83">
        <f>4*T17</f>
        <v>682.3561904761904</v>
      </c>
      <c r="U18" s="117">
        <f>9*U17</f>
        <v>2645.7599999999998</v>
      </c>
      <c r="V18" s="83">
        <f>4*V17</f>
        <v>3343.7853221288515</v>
      </c>
      <c r="W18" s="54" t="s">
        <v>697</v>
      </c>
      <c r="X18" s="54"/>
      <c r="Y18" s="84">
        <f>9*Y17</f>
        <v>833.205</v>
      </c>
    </row>
    <row r="19" spans="1:25" ht="12.75">
      <c r="A19" s="54"/>
      <c r="B19" s="57"/>
      <c r="C19" s="58"/>
      <c r="D19" s="114"/>
      <c r="E19" s="114"/>
      <c r="F19" s="54"/>
      <c r="G19" s="88">
        <v>3500</v>
      </c>
      <c r="H19" s="54" t="s">
        <v>1324</v>
      </c>
      <c r="I19" s="54"/>
      <c r="J19" s="54"/>
      <c r="K19" s="54"/>
      <c r="L19" s="54"/>
      <c r="M19" s="54"/>
      <c r="N19" s="54"/>
      <c r="O19" s="54"/>
      <c r="P19" s="54"/>
      <c r="Q19" s="54"/>
      <c r="R19" s="54"/>
      <c r="S19" s="54"/>
      <c r="T19" s="57">
        <f>T18*100/A17</f>
        <v>10.336738443572964</v>
      </c>
      <c r="U19" s="57">
        <f>100*U18/A17</f>
        <v>40.079550073960796</v>
      </c>
      <c r="V19" s="57">
        <f>V18*100/A17</f>
        <v>50.65365386688076</v>
      </c>
      <c r="W19" s="115">
        <f>100*W17/A17</f>
        <v>0.6275919163356184</v>
      </c>
      <c r="X19" s="54"/>
      <c r="Y19" s="54">
        <f>100*Y18/A17</f>
        <v>12.621886157238187</v>
      </c>
    </row>
    <row r="20" spans="1:25" ht="12.75">
      <c r="A20" s="54"/>
      <c r="B20" s="57"/>
      <c r="C20" s="56"/>
      <c r="D20" s="114"/>
      <c r="E20" s="114"/>
      <c r="F20" s="54"/>
      <c r="G20" s="54"/>
      <c r="H20" s="54"/>
      <c r="I20" s="89" t="s">
        <v>587</v>
      </c>
      <c r="J20" s="54"/>
      <c r="K20" s="54"/>
      <c r="L20" s="54"/>
      <c r="M20" s="54"/>
      <c r="N20" s="54"/>
      <c r="O20" s="54"/>
      <c r="P20" s="54"/>
      <c r="Q20" s="54"/>
      <c r="R20" s="54"/>
      <c r="S20" s="54"/>
      <c r="T20" s="54"/>
      <c r="U20" s="54"/>
      <c r="V20" s="54"/>
      <c r="W20" s="54"/>
      <c r="X20" s="54" t="s">
        <v>1786</v>
      </c>
      <c r="Y20" s="54"/>
    </row>
    <row r="21" spans="1:25" ht="12.75">
      <c r="A21" s="54"/>
      <c r="B21" s="57"/>
      <c r="C21" s="58"/>
      <c r="D21" s="114"/>
      <c r="E21" s="114"/>
      <c r="F21" s="54"/>
      <c r="G21" s="54"/>
      <c r="H21" s="54"/>
      <c r="I21" s="54"/>
      <c r="J21" s="54" t="s">
        <v>586</v>
      </c>
      <c r="K21" s="54"/>
      <c r="L21" s="54"/>
      <c r="M21" s="54"/>
      <c r="N21" s="54"/>
      <c r="O21" s="54"/>
      <c r="P21" s="54"/>
      <c r="Q21" s="54"/>
      <c r="R21" s="54"/>
      <c r="S21" s="54"/>
      <c r="T21" s="54"/>
      <c r="U21" s="54"/>
      <c r="V21" s="54"/>
      <c r="W21" s="54"/>
      <c r="X21" s="54"/>
      <c r="Y21" s="54"/>
    </row>
    <row r="22" spans="1:25" ht="12.75">
      <c r="A22" s="54"/>
      <c r="B22" s="57"/>
      <c r="C22" s="56"/>
      <c r="D22" s="114"/>
      <c r="E22" s="114"/>
      <c r="F22" s="54"/>
      <c r="G22" s="54"/>
      <c r="H22" s="54"/>
      <c r="I22" s="54"/>
      <c r="J22" s="54" t="s">
        <v>1781</v>
      </c>
      <c r="K22" s="54"/>
      <c r="L22" s="54"/>
      <c r="M22" s="54"/>
      <c r="N22" s="54"/>
      <c r="O22" s="54"/>
      <c r="P22" s="54"/>
      <c r="Q22" s="54"/>
      <c r="R22" s="54"/>
      <c r="S22" s="54"/>
      <c r="T22" s="54"/>
      <c r="U22" s="54"/>
      <c r="V22" s="54"/>
      <c r="W22" s="54"/>
      <c r="X22" s="54"/>
      <c r="Y22" s="54"/>
    </row>
    <row r="23" spans="1:25" ht="12.75">
      <c r="A23" s="54"/>
      <c r="B23" s="57"/>
      <c r="C23" s="58"/>
      <c r="D23" s="114"/>
      <c r="E23" s="114"/>
      <c r="F23" s="54"/>
      <c r="G23" s="54"/>
      <c r="H23" s="54"/>
      <c r="I23" s="54"/>
      <c r="J23" s="54" t="s">
        <v>1796</v>
      </c>
      <c r="K23" s="54"/>
      <c r="L23" s="54"/>
      <c r="M23" s="54"/>
      <c r="N23" s="54"/>
      <c r="O23" s="54"/>
      <c r="P23" s="54"/>
      <c r="Q23" s="54"/>
      <c r="R23" s="54"/>
      <c r="S23" s="54"/>
      <c r="T23" s="54"/>
      <c r="U23" s="54"/>
      <c r="V23" s="54"/>
      <c r="W23" s="54"/>
      <c r="X23" s="54"/>
      <c r="Y23" s="54"/>
    </row>
    <row r="24" spans="1:25" ht="12.75">
      <c r="A24" s="54"/>
      <c r="B24" s="57"/>
      <c r="C24" s="58"/>
      <c r="D24" s="114"/>
      <c r="E24" s="114"/>
      <c r="F24" s="54"/>
      <c r="G24" s="54"/>
      <c r="H24" s="54"/>
      <c r="I24" s="54"/>
      <c r="J24" s="90" t="s">
        <v>1789</v>
      </c>
      <c r="K24" s="54"/>
      <c r="L24" s="54"/>
      <c r="M24" s="54"/>
      <c r="N24" s="54"/>
      <c r="O24" s="54"/>
      <c r="P24" s="54"/>
      <c r="Q24" s="54"/>
      <c r="R24" s="54"/>
      <c r="S24" s="54"/>
      <c r="T24" s="54"/>
      <c r="U24" s="54"/>
      <c r="V24" s="54"/>
      <c r="W24" s="54"/>
      <c r="X24" s="54"/>
      <c r="Y24" s="54"/>
    </row>
  </sheetData>
  <printOptions/>
  <pageMargins left="0.73" right="0.27" top="1" bottom="1" header="0.5" footer="0.5"/>
  <pageSetup orientation="landscape" r:id="rId1"/>
  <ignoredErrors>
    <ignoredError sqref="U18" formula="1"/>
  </ignoredErrors>
</worksheet>
</file>

<file path=xl/worksheets/sheet32.xml><?xml version="1.0" encoding="utf-8"?>
<worksheet xmlns="http://schemas.openxmlformats.org/spreadsheetml/2006/main" xmlns:r="http://schemas.openxmlformats.org/officeDocument/2006/relationships">
  <dimension ref="A1:AC206"/>
  <sheetViews>
    <sheetView workbookViewId="0" topLeftCell="A46">
      <selection activeCell="E15" sqref="E15"/>
    </sheetView>
  </sheetViews>
  <sheetFormatPr defaultColWidth="9.140625" defaultRowHeight="12.75"/>
  <cols>
    <col min="1" max="1" width="6.28125" style="0" customWidth="1"/>
    <col min="2" max="2" width="6.140625" style="0" customWidth="1"/>
    <col min="3" max="3" width="5.57421875" style="0" customWidth="1"/>
    <col min="4" max="4" width="5.7109375" style="0" customWidth="1"/>
    <col min="5" max="5" width="21.28125" style="12" customWidth="1"/>
    <col min="6" max="6" width="4.7109375" style="0" customWidth="1"/>
    <col min="7" max="7" width="4.00390625" style="0" customWidth="1"/>
    <col min="8" max="8" width="3.8515625" style="0" customWidth="1"/>
    <col min="9" max="10" width="4.140625" style="0" customWidth="1"/>
    <col min="11" max="11" width="3.57421875" style="0" customWidth="1"/>
    <col min="12" max="12" width="3.7109375" style="0" customWidth="1"/>
    <col min="13" max="13" width="3.28125" style="0" customWidth="1"/>
    <col min="14" max="14" width="3.57421875" style="0" customWidth="1"/>
    <col min="15" max="15" width="3.7109375" style="0" customWidth="1"/>
    <col min="16" max="16" width="3.421875" style="0" customWidth="1"/>
    <col min="17" max="17" width="3.7109375" style="0" customWidth="1"/>
    <col min="18" max="20" width="2.8515625" style="0" customWidth="1"/>
    <col min="21" max="21" width="3.57421875" style="0" customWidth="1"/>
    <col min="22" max="24" width="4.140625" style="0" customWidth="1"/>
    <col min="25" max="25" width="3.8515625" style="0" customWidth="1"/>
    <col min="26" max="26" width="2.8515625" style="0" customWidth="1"/>
    <col min="27" max="27" width="3.8515625" style="0" customWidth="1"/>
  </cols>
  <sheetData>
    <row r="1" spans="1:6" ht="12.75">
      <c r="A1" t="s">
        <v>697</v>
      </c>
      <c r="B1" t="s">
        <v>1603</v>
      </c>
      <c r="C1" t="s">
        <v>2074</v>
      </c>
      <c r="D1" t="s">
        <v>1242</v>
      </c>
      <c r="E1" s="12" t="s">
        <v>2075</v>
      </c>
      <c r="F1" s="12" t="s">
        <v>496</v>
      </c>
    </row>
    <row r="2" spans="2:3" ht="12.75">
      <c r="B2" s="9"/>
      <c r="C2" s="2"/>
    </row>
    <row r="3" spans="1:5" ht="12.75">
      <c r="A3">
        <v>0</v>
      </c>
      <c r="B3">
        <v>25</v>
      </c>
      <c r="C3" s="3">
        <f aca="true" t="shared" si="0" ref="C3:C8">B3/28.349523</f>
        <v>0.881849052627799</v>
      </c>
      <c r="D3" s="3">
        <f aca="true" t="shared" si="1" ref="D3:D8">C3/16</f>
        <v>0.05511556578923744</v>
      </c>
      <c r="E3" s="12" t="s">
        <v>1800</v>
      </c>
    </row>
    <row r="4" spans="1:5" ht="12.75">
      <c r="A4">
        <v>0</v>
      </c>
      <c r="B4" s="9">
        <v>16</v>
      </c>
      <c r="C4" s="2">
        <f t="shared" si="0"/>
        <v>0.5643833936817914</v>
      </c>
      <c r="D4" s="2">
        <f t="shared" si="1"/>
        <v>0.03527396210511196</v>
      </c>
      <c r="E4" s="12" t="s">
        <v>1047</v>
      </c>
    </row>
    <row r="5" spans="1:5" ht="12.75">
      <c r="A5">
        <v>0</v>
      </c>
      <c r="B5" s="9">
        <v>17</v>
      </c>
      <c r="C5" s="2">
        <f t="shared" si="0"/>
        <v>0.5996573557869034</v>
      </c>
      <c r="D5" s="2">
        <f t="shared" si="1"/>
        <v>0.03747858473668146</v>
      </c>
      <c r="E5" s="12" t="s">
        <v>1815</v>
      </c>
    </row>
    <row r="6" spans="1:5" ht="12.75">
      <c r="A6">
        <v>0</v>
      </c>
      <c r="B6" s="9">
        <v>29</v>
      </c>
      <c r="C6" s="2">
        <f t="shared" si="0"/>
        <v>1.0229449010482468</v>
      </c>
      <c r="D6" s="2">
        <f t="shared" si="1"/>
        <v>0.06393405631551542</v>
      </c>
      <c r="E6" s="12" t="s">
        <v>1827</v>
      </c>
    </row>
    <row r="7" spans="1:5" ht="12.75">
      <c r="A7">
        <v>0</v>
      </c>
      <c r="B7" s="16">
        <v>37</v>
      </c>
      <c r="C7" s="2">
        <f t="shared" si="0"/>
        <v>1.3051365978891425</v>
      </c>
      <c r="D7" s="2">
        <f t="shared" si="1"/>
        <v>0.0815710373680714</v>
      </c>
      <c r="E7" s="4" t="s">
        <v>792</v>
      </c>
    </row>
    <row r="8" spans="1:5" ht="12.75">
      <c r="A8">
        <v>0</v>
      </c>
      <c r="B8" s="9">
        <v>19</v>
      </c>
      <c r="C8" s="2">
        <f t="shared" si="0"/>
        <v>0.6702052799971272</v>
      </c>
      <c r="D8" s="2">
        <f t="shared" si="1"/>
        <v>0.04188782999982045</v>
      </c>
      <c r="E8" s="12" t="s">
        <v>1471</v>
      </c>
    </row>
    <row r="9" spans="1:5" ht="12.75">
      <c r="A9">
        <v>0</v>
      </c>
      <c r="B9" s="9">
        <v>814</v>
      </c>
      <c r="C9" s="2">
        <f aca="true" t="shared" si="2" ref="C9:C16">B9/28.349523</f>
        <v>28.713005153561138</v>
      </c>
      <c r="D9" s="2">
        <f aca="true" t="shared" si="3" ref="D9:D16">C9/16</f>
        <v>1.7945628220975711</v>
      </c>
      <c r="E9" t="s">
        <v>1704</v>
      </c>
    </row>
    <row r="10" spans="1:5" ht="12.75">
      <c r="A10">
        <v>0</v>
      </c>
      <c r="B10" s="9">
        <v>97</v>
      </c>
      <c r="C10" s="2">
        <f t="shared" si="2"/>
        <v>3.42157432419586</v>
      </c>
      <c r="D10" s="2">
        <f t="shared" si="3"/>
        <v>0.21384839526224125</v>
      </c>
      <c r="E10" s="4" t="s">
        <v>520</v>
      </c>
    </row>
    <row r="11" spans="1:5" ht="12.75">
      <c r="A11">
        <v>0</v>
      </c>
      <c r="B11" s="9">
        <v>500</v>
      </c>
      <c r="C11" s="2">
        <f t="shared" si="2"/>
        <v>17.63698105255598</v>
      </c>
      <c r="D11" s="2">
        <f t="shared" si="3"/>
        <v>1.1023113157847488</v>
      </c>
      <c r="E11" s="4" t="s">
        <v>522</v>
      </c>
    </row>
    <row r="12" spans="1:5" ht="12.75">
      <c r="A12">
        <v>0</v>
      </c>
      <c r="B12" s="9">
        <v>537</v>
      </c>
      <c r="C12" s="2">
        <f t="shared" si="2"/>
        <v>18.942117650445123</v>
      </c>
      <c r="D12" s="2">
        <f t="shared" si="3"/>
        <v>1.1838823531528202</v>
      </c>
      <c r="E12" s="4" t="s">
        <v>521</v>
      </c>
    </row>
    <row r="13" spans="1:5" ht="12.75">
      <c r="A13">
        <v>0</v>
      </c>
      <c r="B13" s="9">
        <v>124</v>
      </c>
      <c r="C13" s="2">
        <f t="shared" si="2"/>
        <v>4.373971301033883</v>
      </c>
      <c r="D13" s="2">
        <f t="shared" si="3"/>
        <v>0.2733732063146177</v>
      </c>
      <c r="E13" s="4" t="s">
        <v>523</v>
      </c>
    </row>
    <row r="14" spans="1:5" ht="12.75">
      <c r="A14">
        <v>0</v>
      </c>
      <c r="B14" s="9">
        <v>59</v>
      </c>
      <c r="C14" s="2">
        <f t="shared" si="2"/>
        <v>2.0811637642016056</v>
      </c>
      <c r="D14" s="2">
        <f t="shared" si="3"/>
        <v>0.13007273526260035</v>
      </c>
      <c r="E14" s="4" t="s">
        <v>524</v>
      </c>
    </row>
    <row r="15" spans="1:10" ht="12.75">
      <c r="A15">
        <v>0</v>
      </c>
      <c r="B15" s="9">
        <v>100</v>
      </c>
      <c r="C15" s="2">
        <f t="shared" si="2"/>
        <v>3.527396210511196</v>
      </c>
      <c r="D15" s="2">
        <f t="shared" si="3"/>
        <v>0.22046226315694975</v>
      </c>
      <c r="E15" s="13" t="s">
        <v>525</v>
      </c>
      <c r="I15" s="2">
        <f>C11+C12+C13+C14+C15</f>
        <v>46.561629978747796</v>
      </c>
      <c r="J15" t="s">
        <v>526</v>
      </c>
    </row>
    <row r="16" spans="1:5" ht="12.75">
      <c r="A16">
        <v>0</v>
      </c>
      <c r="B16" s="9">
        <v>245</v>
      </c>
      <c r="C16" s="2">
        <f t="shared" si="2"/>
        <v>8.64212071575243</v>
      </c>
      <c r="D16" s="2">
        <f t="shared" si="3"/>
        <v>0.5401325447345269</v>
      </c>
      <c r="E16" s="4" t="s">
        <v>1799</v>
      </c>
    </row>
    <row r="17" spans="1:5" ht="12.75">
      <c r="A17">
        <v>0</v>
      </c>
      <c r="B17" s="6">
        <v>158</v>
      </c>
      <c r="C17" s="2">
        <f aca="true" t="shared" si="4" ref="C17:C48">B17/28.349523</f>
        <v>5.5732860126076895</v>
      </c>
      <c r="D17" s="3">
        <f aca="true" t="shared" si="5" ref="D17:D48">C17/16</f>
        <v>0.3483303757879806</v>
      </c>
      <c r="E17" s="4" t="s">
        <v>1527</v>
      </c>
    </row>
    <row r="18" spans="1:5" ht="12.75">
      <c r="A18">
        <v>0</v>
      </c>
      <c r="B18" s="9">
        <v>33</v>
      </c>
      <c r="C18" s="2">
        <f t="shared" si="4"/>
        <v>1.1640407494686946</v>
      </c>
      <c r="D18" s="2">
        <f t="shared" si="5"/>
        <v>0.07275254684179341</v>
      </c>
      <c r="E18" s="12" t="s">
        <v>1528</v>
      </c>
    </row>
    <row r="19" spans="1:5" ht="12.75">
      <c r="A19">
        <v>0</v>
      </c>
      <c r="B19" s="16">
        <v>44</v>
      </c>
      <c r="C19" s="2">
        <f t="shared" si="4"/>
        <v>1.5520543326249263</v>
      </c>
      <c r="D19" s="2">
        <f t="shared" si="5"/>
        <v>0.0970033957890579</v>
      </c>
      <c r="E19" s="11" t="s">
        <v>726</v>
      </c>
    </row>
    <row r="20" spans="1:5" ht="12.75">
      <c r="A20">
        <v>0</v>
      </c>
      <c r="B20" s="9">
        <v>229</v>
      </c>
      <c r="C20" s="2">
        <f t="shared" si="4"/>
        <v>8.07773732207064</v>
      </c>
      <c r="D20" s="2">
        <f t="shared" si="5"/>
        <v>0.504858582629415</v>
      </c>
      <c r="E20" t="s">
        <v>56</v>
      </c>
    </row>
    <row r="21" spans="1:5" ht="12.75">
      <c r="A21">
        <v>0</v>
      </c>
      <c r="B21" s="9">
        <v>94</v>
      </c>
      <c r="C21" s="2">
        <f t="shared" si="4"/>
        <v>3.3157524378805245</v>
      </c>
      <c r="D21" s="2">
        <f t="shared" si="5"/>
        <v>0.20723452736753278</v>
      </c>
      <c r="E21" s="12" t="s">
        <v>1027</v>
      </c>
    </row>
    <row r="22" spans="1:5" ht="12.75">
      <c r="A22">
        <v>0</v>
      </c>
      <c r="B22" s="9">
        <v>236</v>
      </c>
      <c r="C22" s="2">
        <f t="shared" si="4"/>
        <v>8.324655056806423</v>
      </c>
      <c r="D22" s="2">
        <f t="shared" si="5"/>
        <v>0.5202909410504014</v>
      </c>
      <c r="E22" t="s">
        <v>2071</v>
      </c>
    </row>
    <row r="23" spans="1:5" ht="12.75">
      <c r="A23">
        <v>0</v>
      </c>
      <c r="B23" s="9">
        <v>87</v>
      </c>
      <c r="C23" s="2">
        <f t="shared" si="4"/>
        <v>3.0688347031447405</v>
      </c>
      <c r="D23" s="2">
        <f t="shared" si="5"/>
        <v>0.19180216894654628</v>
      </c>
      <c r="E23" t="s">
        <v>1721</v>
      </c>
    </row>
    <row r="24" spans="1:5" ht="12.75">
      <c r="A24">
        <v>0</v>
      </c>
      <c r="B24" s="9">
        <v>38</v>
      </c>
      <c r="C24" s="2">
        <f t="shared" si="4"/>
        <v>1.3404105599942544</v>
      </c>
      <c r="D24" s="2">
        <f t="shared" si="5"/>
        <v>0.0837756599996409</v>
      </c>
      <c r="E24" s="12" t="s">
        <v>37</v>
      </c>
    </row>
    <row r="25" spans="1:5" ht="12.75">
      <c r="A25">
        <v>0</v>
      </c>
      <c r="B25" s="9">
        <v>24</v>
      </c>
      <c r="C25" s="2">
        <f t="shared" si="4"/>
        <v>0.8465750905226871</v>
      </c>
      <c r="D25" s="2">
        <f t="shared" si="5"/>
        <v>0.05291094315766794</v>
      </c>
      <c r="E25" s="12" t="s">
        <v>320</v>
      </c>
    </row>
    <row r="26" spans="1:5" ht="12.75">
      <c r="A26">
        <v>0</v>
      </c>
      <c r="B26" s="9">
        <v>53</v>
      </c>
      <c r="C26" s="2">
        <f t="shared" si="4"/>
        <v>1.869519991570934</v>
      </c>
      <c r="D26" s="2">
        <f t="shared" si="5"/>
        <v>0.11684499947318337</v>
      </c>
      <c r="E26" s="12" t="s">
        <v>1033</v>
      </c>
    </row>
    <row r="27" spans="1:5" ht="12.75">
      <c r="A27">
        <v>0</v>
      </c>
      <c r="B27" s="9">
        <v>11</v>
      </c>
      <c r="C27" s="2">
        <f t="shared" si="4"/>
        <v>0.3880135831562316</v>
      </c>
      <c r="D27" s="2">
        <f t="shared" si="5"/>
        <v>0.024250848947264474</v>
      </c>
      <c r="E27" s="12" t="s">
        <v>1730</v>
      </c>
    </row>
    <row r="28" spans="1:5" ht="12.75">
      <c r="A28">
        <v>0</v>
      </c>
      <c r="B28" s="9">
        <v>2</v>
      </c>
      <c r="C28" s="2">
        <f t="shared" si="4"/>
        <v>0.07054792421022392</v>
      </c>
      <c r="D28" s="2">
        <f t="shared" si="5"/>
        <v>0.004409245263138995</v>
      </c>
      <c r="E28" s="12" t="s">
        <v>1470</v>
      </c>
    </row>
    <row r="29" spans="1:5" ht="12.75">
      <c r="A29">
        <v>0</v>
      </c>
      <c r="B29" s="9">
        <v>15</v>
      </c>
      <c r="C29" s="2">
        <f t="shared" si="4"/>
        <v>0.5291094315766794</v>
      </c>
      <c r="D29" s="2">
        <f t="shared" si="5"/>
        <v>0.033069339473542465</v>
      </c>
      <c r="E29" s="12" t="s">
        <v>537</v>
      </c>
    </row>
    <row r="30" spans="1:5" ht="12.75">
      <c r="A30">
        <v>0</v>
      </c>
      <c r="B30" s="9">
        <v>123</v>
      </c>
      <c r="C30" s="2">
        <f t="shared" si="4"/>
        <v>4.338697338928771</v>
      </c>
      <c r="D30" s="2">
        <f t="shared" si="5"/>
        <v>0.2711685836830482</v>
      </c>
      <c r="E30" s="12" t="s">
        <v>1474</v>
      </c>
    </row>
    <row r="31" spans="1:5" ht="12.75">
      <c r="A31">
        <v>0</v>
      </c>
      <c r="B31" s="9">
        <v>651</v>
      </c>
      <c r="C31" s="2">
        <f t="shared" si="4"/>
        <v>22.963349330427885</v>
      </c>
      <c r="D31" s="2">
        <f t="shared" si="5"/>
        <v>1.4352093331517428</v>
      </c>
      <c r="E31" s="12" t="s">
        <v>1039</v>
      </c>
    </row>
    <row r="32" spans="1:16" ht="15">
      <c r="A32">
        <v>0</v>
      </c>
      <c r="B32">
        <v>21</v>
      </c>
      <c r="C32" s="2">
        <f t="shared" si="4"/>
        <v>0.7407532042073511</v>
      </c>
      <c r="D32" s="2">
        <f t="shared" si="5"/>
        <v>0.046297075262959446</v>
      </c>
      <c r="E32" s="4" t="s">
        <v>86</v>
      </c>
      <c r="P32" s="31"/>
    </row>
    <row r="33" spans="1:16" ht="15">
      <c r="A33">
        <v>0</v>
      </c>
      <c r="B33" s="9">
        <v>49</v>
      </c>
      <c r="C33" s="2">
        <f t="shared" si="4"/>
        <v>1.728424143150486</v>
      </c>
      <c r="D33" s="2">
        <f t="shared" si="5"/>
        <v>0.10802650894690538</v>
      </c>
      <c r="E33" s="12" t="s">
        <v>1719</v>
      </c>
      <c r="P33" s="31" t="s">
        <v>69</v>
      </c>
    </row>
    <row r="34" spans="1:5" ht="12.75">
      <c r="A34">
        <v>0</v>
      </c>
      <c r="B34" s="9">
        <v>15</v>
      </c>
      <c r="C34" s="2">
        <f t="shared" si="4"/>
        <v>0.5291094315766794</v>
      </c>
      <c r="D34" s="2">
        <f t="shared" si="5"/>
        <v>0.033069339473542465</v>
      </c>
      <c r="E34" s="11" t="s">
        <v>1063</v>
      </c>
    </row>
    <row r="35" spans="1:5" ht="12.75">
      <c r="A35">
        <v>0</v>
      </c>
      <c r="B35" s="9">
        <v>6</v>
      </c>
      <c r="C35" s="2">
        <f t="shared" si="4"/>
        <v>0.21164377263067177</v>
      </c>
      <c r="D35" s="2">
        <f t="shared" si="5"/>
        <v>0.013227735789416986</v>
      </c>
      <c r="E35" s="12" t="s">
        <v>1733</v>
      </c>
    </row>
    <row r="36" spans="1:5" ht="12.75">
      <c r="A36">
        <v>0</v>
      </c>
      <c r="B36" s="9">
        <v>218</v>
      </c>
      <c r="C36" s="2">
        <f t="shared" si="4"/>
        <v>7.689723738914408</v>
      </c>
      <c r="D36" s="2">
        <f t="shared" si="5"/>
        <v>0.4806077336821505</v>
      </c>
      <c r="E36" t="s">
        <v>1049</v>
      </c>
    </row>
    <row r="37" spans="1:5" ht="12.75">
      <c r="A37">
        <v>0</v>
      </c>
      <c r="B37" s="9">
        <v>40</v>
      </c>
      <c r="C37" s="2">
        <f t="shared" si="4"/>
        <v>1.4109584842044784</v>
      </c>
      <c r="D37" s="2">
        <f t="shared" si="5"/>
        <v>0.0881849052627799</v>
      </c>
      <c r="E37" s="4" t="s">
        <v>83</v>
      </c>
    </row>
    <row r="38" spans="1:5" ht="12.75">
      <c r="A38">
        <v>0</v>
      </c>
      <c r="B38" s="9">
        <v>47</v>
      </c>
      <c r="C38" s="2">
        <f t="shared" si="4"/>
        <v>1.6578762189402623</v>
      </c>
      <c r="D38" s="2">
        <f t="shared" si="5"/>
        <v>0.10361726368376639</v>
      </c>
      <c r="E38" t="s">
        <v>1718</v>
      </c>
    </row>
    <row r="39" spans="2:5" ht="12.75">
      <c r="B39" s="9">
        <v>4</v>
      </c>
      <c r="C39" s="2">
        <f t="shared" si="4"/>
        <v>0.14109584842044784</v>
      </c>
      <c r="D39" s="2">
        <f t="shared" si="5"/>
        <v>0.00881849052627799</v>
      </c>
      <c r="E39" s="12" t="s">
        <v>1565</v>
      </c>
    </row>
    <row r="40" spans="2:5" ht="12.75">
      <c r="B40" s="9">
        <v>3</v>
      </c>
      <c r="C40" s="2">
        <f t="shared" si="4"/>
        <v>0.10582188631533589</v>
      </c>
      <c r="D40" s="2">
        <f t="shared" si="5"/>
        <v>0.006613867894708493</v>
      </c>
      <c r="E40" s="12" t="s">
        <v>1525</v>
      </c>
    </row>
    <row r="41" spans="1:5" ht="12.75">
      <c r="A41">
        <v>0</v>
      </c>
      <c r="B41" s="9">
        <v>163</v>
      </c>
      <c r="C41" s="2">
        <f t="shared" si="4"/>
        <v>5.749655823133249</v>
      </c>
      <c r="D41" s="2">
        <f t="shared" si="5"/>
        <v>0.3593534889458281</v>
      </c>
      <c r="E41" s="4" t="s">
        <v>1711</v>
      </c>
    </row>
    <row r="42" spans="1:5" ht="12.75">
      <c r="A42">
        <v>0</v>
      </c>
      <c r="B42" s="16">
        <v>76</v>
      </c>
      <c r="C42" s="2">
        <f t="shared" si="4"/>
        <v>2.680821119988509</v>
      </c>
      <c r="D42" s="2">
        <f t="shared" si="5"/>
        <v>0.1675513199992818</v>
      </c>
      <c r="E42" s="13" t="s">
        <v>1729</v>
      </c>
    </row>
    <row r="43" spans="1:5" ht="12.75">
      <c r="A43">
        <v>0</v>
      </c>
      <c r="B43" s="9">
        <f>90+21+29</f>
        <v>140</v>
      </c>
      <c r="C43" s="2">
        <f t="shared" si="4"/>
        <v>4.938354694715675</v>
      </c>
      <c r="D43" s="2">
        <f t="shared" si="5"/>
        <v>0.30864716841972967</v>
      </c>
      <c r="E43" s="12" t="s">
        <v>1707</v>
      </c>
    </row>
    <row r="44" spans="1:5" ht="12.75">
      <c r="A44">
        <v>0</v>
      </c>
      <c r="B44" s="16">
        <v>74</v>
      </c>
      <c r="C44" s="2">
        <f t="shared" si="4"/>
        <v>2.610273195778285</v>
      </c>
      <c r="D44" s="2">
        <f t="shared" si="5"/>
        <v>0.1631420747361428</v>
      </c>
      <c r="E44" s="13" t="s">
        <v>1519</v>
      </c>
    </row>
    <row r="45" spans="1:5" ht="12.75">
      <c r="A45">
        <v>0</v>
      </c>
      <c r="B45" s="16">
        <v>32</v>
      </c>
      <c r="C45" s="2">
        <f t="shared" si="4"/>
        <v>1.1287667873635827</v>
      </c>
      <c r="D45" s="2">
        <f t="shared" si="5"/>
        <v>0.07054792421022392</v>
      </c>
      <c r="E45" s="13" t="s">
        <v>1709</v>
      </c>
    </row>
    <row r="46" spans="1:5" ht="12.75">
      <c r="A46">
        <v>0</v>
      </c>
      <c r="B46" s="16">
        <v>53</v>
      </c>
      <c r="C46" s="2">
        <f t="shared" si="4"/>
        <v>1.869519991570934</v>
      </c>
      <c r="D46" s="2">
        <f t="shared" si="5"/>
        <v>0.11684499947318337</v>
      </c>
      <c r="E46" s="11" t="s">
        <v>1068</v>
      </c>
    </row>
    <row r="47" spans="1:5" ht="12.75">
      <c r="A47">
        <v>0</v>
      </c>
      <c r="B47" s="9">
        <v>10</v>
      </c>
      <c r="C47" s="2">
        <f t="shared" si="4"/>
        <v>0.3527396210511196</v>
      </c>
      <c r="D47" s="2">
        <f t="shared" si="5"/>
        <v>0.022046226315694976</v>
      </c>
      <c r="E47" s="11" t="s">
        <v>1431</v>
      </c>
    </row>
    <row r="48" spans="1:5" ht="12.75">
      <c r="A48">
        <v>0</v>
      </c>
      <c r="B48" s="9">
        <v>27</v>
      </c>
      <c r="C48" s="2">
        <f t="shared" si="4"/>
        <v>0.9523969768380229</v>
      </c>
      <c r="D48" s="2">
        <f t="shared" si="5"/>
        <v>0.05952481105237643</v>
      </c>
      <c r="E48" t="s">
        <v>1929</v>
      </c>
    </row>
    <row r="50" spans="5:28" ht="117" customHeight="1">
      <c r="E50" s="12" t="s">
        <v>2075</v>
      </c>
      <c r="F50" s="28" t="s">
        <v>1932</v>
      </c>
      <c r="G50" s="1" t="s">
        <v>559</v>
      </c>
      <c r="H50" s="1" t="s">
        <v>585</v>
      </c>
      <c r="I50" s="1" t="s">
        <v>584</v>
      </c>
      <c r="J50" s="1" t="s">
        <v>583</v>
      </c>
      <c r="K50" s="1" t="s">
        <v>582</v>
      </c>
      <c r="L50" s="1" t="s">
        <v>581</v>
      </c>
      <c r="M50" s="1" t="s">
        <v>580</v>
      </c>
      <c r="N50" s="1" t="s">
        <v>579</v>
      </c>
      <c r="O50" s="1" t="s">
        <v>560</v>
      </c>
      <c r="P50" s="1" t="s">
        <v>561</v>
      </c>
      <c r="Q50" s="1" t="s">
        <v>1797</v>
      </c>
      <c r="R50" s="1" t="s">
        <v>1785</v>
      </c>
      <c r="S50" s="1" t="s">
        <v>562</v>
      </c>
      <c r="T50" s="1" t="s">
        <v>563</v>
      </c>
      <c r="U50" s="1" t="s">
        <v>572</v>
      </c>
      <c r="V50" s="1" t="s">
        <v>571</v>
      </c>
      <c r="W50" s="1" t="s">
        <v>575</v>
      </c>
      <c r="X50" s="1" t="s">
        <v>576</v>
      </c>
      <c r="Y50" s="1" t="s">
        <v>577</v>
      </c>
      <c r="Z50" s="1" t="s">
        <v>578</v>
      </c>
      <c r="AA50" s="1" t="s">
        <v>553</v>
      </c>
      <c r="AB50" s="1"/>
    </row>
    <row r="51" spans="1:29" ht="12.75">
      <c r="A51">
        <f aca="true" t="shared" si="6" ref="A51:A61">G51*U51</f>
        <v>270</v>
      </c>
      <c r="B51" s="9">
        <f aca="true" t="shared" si="7" ref="B51:B61">F51*U51</f>
        <v>66</v>
      </c>
      <c r="C51" s="2">
        <f>B51/28.349523</f>
        <v>2.3280814989373892</v>
      </c>
      <c r="D51" s="2">
        <f>C51/16</f>
        <v>0.14550509368358683</v>
      </c>
      <c r="E51" s="11" t="s">
        <v>1934</v>
      </c>
      <c r="F51" s="9">
        <v>22</v>
      </c>
      <c r="G51">
        <v>90</v>
      </c>
      <c r="H51">
        <v>2</v>
      </c>
      <c r="I51">
        <v>0.5</v>
      </c>
      <c r="J51">
        <v>0</v>
      </c>
      <c r="K51">
        <v>18</v>
      </c>
      <c r="L51">
        <v>8</v>
      </c>
      <c r="M51">
        <v>1</v>
      </c>
      <c r="N51">
        <v>0</v>
      </c>
      <c r="O51" s="2">
        <f aca="true" t="shared" si="8" ref="O51:O61">G51/F51</f>
        <v>4.090909090909091</v>
      </c>
      <c r="P51" s="9">
        <f>100*M51/F51</f>
        <v>4.545454545454546</v>
      </c>
      <c r="Q51" s="9">
        <f>100*9*H51/G51</f>
        <v>20</v>
      </c>
      <c r="R51" s="16">
        <f aca="true" t="shared" si="9" ref="R51:R61">100*(I51*9)/G51</f>
        <v>5</v>
      </c>
      <c r="S51" s="29">
        <f aca="true" t="shared" si="10" ref="S51:S61">100*K51/F51</f>
        <v>81.81818181818181</v>
      </c>
      <c r="T51" s="9">
        <f>100*N51/F51</f>
        <v>0</v>
      </c>
      <c r="U51" s="2">
        <v>3</v>
      </c>
      <c r="V51" s="9">
        <f aca="true" t="shared" si="11" ref="V51:V61">U51*M51</f>
        <v>3</v>
      </c>
      <c r="W51" s="9">
        <f aca="true" t="shared" si="12" ref="W51:W61">U51*H51</f>
        <v>6</v>
      </c>
      <c r="X51" s="9">
        <f aca="true" t="shared" si="13" ref="X51:X61">U51*K51</f>
        <v>54</v>
      </c>
      <c r="Y51" s="9">
        <f aca="true" t="shared" si="14" ref="Y51:Y61">N51*U51</f>
        <v>0</v>
      </c>
      <c r="Z51">
        <f aca="true" t="shared" si="15" ref="Z51:Z61">U51*J51</f>
        <v>0</v>
      </c>
      <c r="AA51" s="9">
        <f aca="true" t="shared" si="16" ref="AA51:AA56">U51*I51</f>
        <v>1.5</v>
      </c>
      <c r="AB51" s="9"/>
      <c r="AC51" s="9"/>
    </row>
    <row r="52" spans="1:29" ht="12.75">
      <c r="A52">
        <f t="shared" si="6"/>
        <v>380</v>
      </c>
      <c r="B52" s="9">
        <f t="shared" si="7"/>
        <v>78.24468347999999</v>
      </c>
      <c r="C52" s="2">
        <f>B52/28.349523</f>
        <v>2.76</v>
      </c>
      <c r="D52" s="2">
        <f>C52/16</f>
        <v>0.1725</v>
      </c>
      <c r="E52" s="11" t="s">
        <v>1937</v>
      </c>
      <c r="F52" s="9">
        <f>1.38*28.349523</f>
        <v>39.122341739999996</v>
      </c>
      <c r="G52">
        <v>190</v>
      </c>
      <c r="H52">
        <v>10</v>
      </c>
      <c r="I52">
        <v>2</v>
      </c>
      <c r="J52">
        <v>0</v>
      </c>
      <c r="K52">
        <v>23</v>
      </c>
      <c r="L52">
        <v>4</v>
      </c>
      <c r="M52">
        <v>4</v>
      </c>
      <c r="N52">
        <v>1</v>
      </c>
      <c r="O52" s="2">
        <f t="shared" si="8"/>
        <v>4.856559999979184</v>
      </c>
      <c r="P52" s="9">
        <f>100*M52/F52</f>
        <v>10.22433684206144</v>
      </c>
      <c r="Q52" s="9">
        <f aca="true" t="shared" si="17" ref="Q52:Q61">100*9*H52/G52</f>
        <v>47.36842105263158</v>
      </c>
      <c r="R52" s="16">
        <f t="shared" si="9"/>
        <v>9.473684210526315</v>
      </c>
      <c r="S52" s="9">
        <f t="shared" si="10"/>
        <v>58.789936841853276</v>
      </c>
      <c r="T52" s="9">
        <f>100*N52/F52</f>
        <v>2.55608421051536</v>
      </c>
      <c r="U52" s="2">
        <v>2</v>
      </c>
      <c r="V52" s="9">
        <f t="shared" si="11"/>
        <v>8</v>
      </c>
      <c r="W52" s="9">
        <f t="shared" si="12"/>
        <v>20</v>
      </c>
      <c r="X52" s="9">
        <f t="shared" si="13"/>
        <v>46</v>
      </c>
      <c r="Y52" s="9">
        <f t="shared" si="14"/>
        <v>2</v>
      </c>
      <c r="Z52">
        <f t="shared" si="15"/>
        <v>0</v>
      </c>
      <c r="AA52" s="9">
        <f t="shared" si="16"/>
        <v>4</v>
      </c>
      <c r="AB52" s="9"/>
      <c r="AC52" s="9"/>
    </row>
    <row r="53" spans="1:27" ht="12.75">
      <c r="A53" s="9">
        <f t="shared" si="6"/>
        <v>890.3225806451612</v>
      </c>
      <c r="B53" s="12">
        <f t="shared" si="7"/>
        <v>115</v>
      </c>
      <c r="C53" s="2">
        <f>B53/28.349523</f>
        <v>4.056505642087876</v>
      </c>
      <c r="D53" s="2">
        <f>C53/16</f>
        <v>0.25353160263049224</v>
      </c>
      <c r="E53" s="11" t="s">
        <v>539</v>
      </c>
      <c r="F53" s="9">
        <v>31</v>
      </c>
      <c r="G53">
        <v>240</v>
      </c>
      <c r="H53">
        <v>23</v>
      </c>
      <c r="I53">
        <v>3.5</v>
      </c>
      <c r="J53">
        <v>0</v>
      </c>
      <c r="K53">
        <v>4</v>
      </c>
      <c r="L53">
        <v>1</v>
      </c>
      <c r="M53">
        <v>2</v>
      </c>
      <c r="N53">
        <v>2</v>
      </c>
      <c r="O53" s="32">
        <f t="shared" si="8"/>
        <v>7.741935483870968</v>
      </c>
      <c r="P53" s="9">
        <f>100*M53/F53</f>
        <v>6.451612903225806</v>
      </c>
      <c r="Q53" s="29">
        <f t="shared" si="17"/>
        <v>86.25</v>
      </c>
      <c r="R53" s="29">
        <f t="shared" si="9"/>
        <v>13.125</v>
      </c>
      <c r="S53" s="9">
        <f t="shared" si="10"/>
        <v>12.903225806451612</v>
      </c>
      <c r="T53" s="9">
        <f>100*N53/F53</f>
        <v>6.451612903225806</v>
      </c>
      <c r="U53" s="2">
        <f>115/F53</f>
        <v>3.7096774193548385</v>
      </c>
      <c r="V53" s="9">
        <f t="shared" si="11"/>
        <v>7.419354838709677</v>
      </c>
      <c r="W53" s="9">
        <f t="shared" si="12"/>
        <v>85.32258064516128</v>
      </c>
      <c r="X53" s="9">
        <f t="shared" si="13"/>
        <v>14.838709677419354</v>
      </c>
      <c r="Y53" s="9">
        <f t="shared" si="14"/>
        <v>7.419354838709677</v>
      </c>
      <c r="Z53">
        <f t="shared" si="15"/>
        <v>0</v>
      </c>
      <c r="AA53" s="9">
        <f t="shared" si="16"/>
        <v>12.983870967741934</v>
      </c>
    </row>
    <row r="54" spans="1:29" ht="12.75">
      <c r="A54">
        <f t="shared" si="6"/>
        <v>1560</v>
      </c>
      <c r="B54">
        <f t="shared" si="7"/>
        <v>260</v>
      </c>
      <c r="C54" s="2">
        <f aca="true" t="shared" si="18" ref="C54:C61">B54/28.349523</f>
        <v>9.17123014732911</v>
      </c>
      <c r="D54" s="2">
        <f aca="true" t="shared" si="19" ref="D54:D61">C54/16</f>
        <v>0.5732018842080694</v>
      </c>
      <c r="E54" s="11" t="s">
        <v>1836</v>
      </c>
      <c r="F54" s="9">
        <v>30</v>
      </c>
      <c r="G54">
        <v>180</v>
      </c>
      <c r="H54">
        <v>14</v>
      </c>
      <c r="I54">
        <v>3</v>
      </c>
      <c r="J54">
        <v>0</v>
      </c>
      <c r="K54">
        <v>9</v>
      </c>
      <c r="L54">
        <v>1</v>
      </c>
      <c r="M54">
        <v>5</v>
      </c>
      <c r="N54">
        <v>2</v>
      </c>
      <c r="O54" s="32">
        <f t="shared" si="8"/>
        <v>6</v>
      </c>
      <c r="P54" s="9">
        <f aca="true" t="shared" si="20" ref="P54:P61">100*M54/F54</f>
        <v>16.666666666666668</v>
      </c>
      <c r="Q54" s="9">
        <f t="shared" si="17"/>
        <v>70</v>
      </c>
      <c r="R54" s="29">
        <f t="shared" si="9"/>
        <v>15</v>
      </c>
      <c r="S54" s="9">
        <f t="shared" si="10"/>
        <v>30</v>
      </c>
      <c r="T54" s="9">
        <f aca="true" t="shared" si="21" ref="T54:T61">100*N54/F54</f>
        <v>6.666666666666667</v>
      </c>
      <c r="U54" s="2">
        <f>260/30</f>
        <v>8.666666666666666</v>
      </c>
      <c r="V54" s="9">
        <f t="shared" si="11"/>
        <v>43.33333333333333</v>
      </c>
      <c r="W54" s="9">
        <f t="shared" si="12"/>
        <v>121.33333333333333</v>
      </c>
      <c r="X54" s="9">
        <f t="shared" si="13"/>
        <v>78</v>
      </c>
      <c r="Y54" s="9">
        <f t="shared" si="14"/>
        <v>17.333333333333332</v>
      </c>
      <c r="Z54">
        <f t="shared" si="15"/>
        <v>0</v>
      </c>
      <c r="AA54" s="9">
        <f t="shared" si="16"/>
        <v>26</v>
      </c>
      <c r="AB54" s="9" t="s">
        <v>528</v>
      </c>
      <c r="AC54" s="9"/>
    </row>
    <row r="55" spans="1:29" ht="12.75">
      <c r="A55">
        <f t="shared" si="6"/>
        <v>925.0000000000001</v>
      </c>
      <c r="B55">
        <f t="shared" si="7"/>
        <v>125.00000000000001</v>
      </c>
      <c r="C55" s="2">
        <f t="shared" si="18"/>
        <v>4.409245263138995</v>
      </c>
      <c r="D55" s="2">
        <f t="shared" si="19"/>
        <v>0.2755778289461872</v>
      </c>
      <c r="E55" s="11" t="s">
        <v>1939</v>
      </c>
      <c r="F55" s="9">
        <v>30</v>
      </c>
      <c r="G55">
        <v>222</v>
      </c>
      <c r="H55">
        <v>21</v>
      </c>
      <c r="I55">
        <v>2</v>
      </c>
      <c r="J55">
        <v>0</v>
      </c>
      <c r="K55">
        <v>3</v>
      </c>
      <c r="L55">
        <v>1</v>
      </c>
      <c r="M55">
        <v>4</v>
      </c>
      <c r="N55">
        <v>2</v>
      </c>
      <c r="O55" s="32">
        <f t="shared" si="8"/>
        <v>7.4</v>
      </c>
      <c r="P55" s="9">
        <f t="shared" si="20"/>
        <v>13.333333333333334</v>
      </c>
      <c r="Q55" s="29">
        <f t="shared" si="17"/>
        <v>85.13513513513513</v>
      </c>
      <c r="R55" s="16">
        <f t="shared" si="9"/>
        <v>8.108108108108109</v>
      </c>
      <c r="S55" s="9">
        <f t="shared" si="10"/>
        <v>10</v>
      </c>
      <c r="T55" s="9">
        <f t="shared" si="21"/>
        <v>6.666666666666667</v>
      </c>
      <c r="U55" s="2">
        <f>125/F55</f>
        <v>4.166666666666667</v>
      </c>
      <c r="V55" s="9">
        <f t="shared" si="11"/>
        <v>16.666666666666668</v>
      </c>
      <c r="W55" s="9">
        <f t="shared" si="12"/>
        <v>87.5</v>
      </c>
      <c r="X55" s="9">
        <f t="shared" si="13"/>
        <v>12.5</v>
      </c>
      <c r="Y55" s="9">
        <f t="shared" si="14"/>
        <v>8.333333333333334</v>
      </c>
      <c r="Z55">
        <f t="shared" si="15"/>
        <v>0</v>
      </c>
      <c r="AA55" s="9">
        <f t="shared" si="16"/>
        <v>8.333333333333334</v>
      </c>
      <c r="AB55" s="9" t="s">
        <v>529</v>
      </c>
      <c r="AC55" s="9"/>
    </row>
    <row r="56" spans="1:29" ht="12.75">
      <c r="A56">
        <f t="shared" si="6"/>
        <v>600</v>
      </c>
      <c r="B56">
        <f t="shared" si="7"/>
        <v>200</v>
      </c>
      <c r="C56" s="2">
        <f t="shared" si="18"/>
        <v>7.054792421022392</v>
      </c>
      <c r="D56" s="2">
        <f t="shared" si="19"/>
        <v>0.4409245263138995</v>
      </c>
      <c r="E56" s="11" t="s">
        <v>1938</v>
      </c>
      <c r="F56" s="9">
        <v>50</v>
      </c>
      <c r="G56">
        <v>150</v>
      </c>
      <c r="H56">
        <v>0</v>
      </c>
      <c r="I56">
        <v>0</v>
      </c>
      <c r="J56">
        <v>0</v>
      </c>
      <c r="K56">
        <v>36</v>
      </c>
      <c r="L56">
        <v>22</v>
      </c>
      <c r="M56">
        <v>2</v>
      </c>
      <c r="N56">
        <v>1</v>
      </c>
      <c r="O56" s="2">
        <f t="shared" si="8"/>
        <v>3</v>
      </c>
      <c r="P56" s="9">
        <f t="shared" si="20"/>
        <v>4</v>
      </c>
      <c r="Q56" s="9">
        <f t="shared" si="17"/>
        <v>0</v>
      </c>
      <c r="R56" s="16">
        <f t="shared" si="9"/>
        <v>0</v>
      </c>
      <c r="S56" s="29">
        <f t="shared" si="10"/>
        <v>72</v>
      </c>
      <c r="T56" s="9">
        <f t="shared" si="21"/>
        <v>2</v>
      </c>
      <c r="U56" s="2">
        <v>4</v>
      </c>
      <c r="V56" s="9">
        <f t="shared" si="11"/>
        <v>8</v>
      </c>
      <c r="W56" s="9">
        <f t="shared" si="12"/>
        <v>0</v>
      </c>
      <c r="X56" s="9">
        <f t="shared" si="13"/>
        <v>144</v>
      </c>
      <c r="Y56" s="9">
        <f t="shared" si="14"/>
        <v>4</v>
      </c>
      <c r="Z56">
        <f t="shared" si="15"/>
        <v>0</v>
      </c>
      <c r="AA56" s="9">
        <f t="shared" si="16"/>
        <v>0</v>
      </c>
      <c r="AB56" s="9"/>
      <c r="AC56" s="9"/>
    </row>
    <row r="57" spans="1:29" ht="12.75">
      <c r="A57" s="9">
        <f t="shared" si="6"/>
        <v>714.2857142857143</v>
      </c>
      <c r="B57">
        <f t="shared" si="7"/>
        <v>100</v>
      </c>
      <c r="C57" s="2">
        <f t="shared" si="18"/>
        <v>3.527396210511196</v>
      </c>
      <c r="D57" s="2">
        <f t="shared" si="19"/>
        <v>0.22046226315694975</v>
      </c>
      <c r="E57" s="11" t="s">
        <v>1942</v>
      </c>
      <c r="F57" s="9">
        <v>28</v>
      </c>
      <c r="G57">
        <v>200</v>
      </c>
      <c r="H57">
        <v>20</v>
      </c>
      <c r="I57">
        <v>2</v>
      </c>
      <c r="J57">
        <v>0</v>
      </c>
      <c r="K57">
        <v>4</v>
      </c>
      <c r="L57">
        <v>1</v>
      </c>
      <c r="M57">
        <v>3</v>
      </c>
      <c r="N57">
        <v>2</v>
      </c>
      <c r="O57" s="32">
        <f t="shared" si="8"/>
        <v>7.142857142857143</v>
      </c>
      <c r="P57" s="9">
        <f t="shared" si="20"/>
        <v>10.714285714285714</v>
      </c>
      <c r="Q57" s="29">
        <f t="shared" si="17"/>
        <v>90</v>
      </c>
      <c r="R57" s="16">
        <f t="shared" si="9"/>
        <v>9</v>
      </c>
      <c r="S57" s="9">
        <f t="shared" si="10"/>
        <v>14.285714285714286</v>
      </c>
      <c r="T57" s="9">
        <f t="shared" si="21"/>
        <v>7.142857142857143</v>
      </c>
      <c r="U57" s="2">
        <f>100/F57</f>
        <v>3.5714285714285716</v>
      </c>
      <c r="V57" s="9">
        <f t="shared" si="11"/>
        <v>10.714285714285715</v>
      </c>
      <c r="W57" s="9">
        <f t="shared" si="12"/>
        <v>71.42857142857143</v>
      </c>
      <c r="X57" s="9">
        <f t="shared" si="13"/>
        <v>14.285714285714286</v>
      </c>
      <c r="Y57" s="9">
        <f t="shared" si="14"/>
        <v>7.142857142857143</v>
      </c>
      <c r="Z57">
        <f t="shared" si="15"/>
        <v>0</v>
      </c>
      <c r="AA57" s="9">
        <f>I57*U57</f>
        <v>7.142857142857143</v>
      </c>
      <c r="AB57" s="9" t="s">
        <v>529</v>
      </c>
      <c r="AC57" s="9"/>
    </row>
    <row r="58" spans="1:29" ht="12.75">
      <c r="A58" s="9">
        <f t="shared" si="6"/>
        <v>248.57142857142858</v>
      </c>
      <c r="B58">
        <f t="shared" si="7"/>
        <v>87</v>
      </c>
      <c r="C58" s="2">
        <f t="shared" si="18"/>
        <v>3.0688347031447405</v>
      </c>
      <c r="D58" s="2">
        <f t="shared" si="19"/>
        <v>0.19180216894654628</v>
      </c>
      <c r="E58" s="11" t="s">
        <v>1936</v>
      </c>
      <c r="F58" s="9">
        <v>28</v>
      </c>
      <c r="G58">
        <v>80</v>
      </c>
      <c r="H58">
        <v>1</v>
      </c>
      <c r="I58">
        <v>0.5</v>
      </c>
      <c r="J58">
        <v>25</v>
      </c>
      <c r="K58">
        <v>4</v>
      </c>
      <c r="L58">
        <v>3</v>
      </c>
      <c r="M58">
        <v>15</v>
      </c>
      <c r="N58">
        <v>0</v>
      </c>
      <c r="O58" s="2">
        <f t="shared" si="8"/>
        <v>2.857142857142857</v>
      </c>
      <c r="P58" s="29">
        <f t="shared" si="20"/>
        <v>53.57142857142857</v>
      </c>
      <c r="Q58" s="9">
        <f t="shared" si="17"/>
        <v>11.25</v>
      </c>
      <c r="R58" s="16">
        <f t="shared" si="9"/>
        <v>5.625</v>
      </c>
      <c r="S58" s="9">
        <f t="shared" si="10"/>
        <v>14.285714285714286</v>
      </c>
      <c r="T58" s="9">
        <f t="shared" si="21"/>
        <v>0</v>
      </c>
      <c r="U58" s="2">
        <f>87/F58</f>
        <v>3.107142857142857</v>
      </c>
      <c r="V58" s="9">
        <f t="shared" si="11"/>
        <v>46.60714285714286</v>
      </c>
      <c r="W58" s="9">
        <f t="shared" si="12"/>
        <v>3.107142857142857</v>
      </c>
      <c r="X58" s="9">
        <f t="shared" si="13"/>
        <v>12.428571428571429</v>
      </c>
      <c r="Y58" s="9">
        <f t="shared" si="14"/>
        <v>0</v>
      </c>
      <c r="Z58">
        <f t="shared" si="15"/>
        <v>77.67857142857143</v>
      </c>
      <c r="AA58" s="9">
        <f>I58*U58</f>
        <v>1.5535714285714286</v>
      </c>
      <c r="AB58" s="9" t="s">
        <v>1345</v>
      </c>
      <c r="AC58" s="9"/>
    </row>
    <row r="59" spans="1:29" ht="12.75">
      <c r="A59" s="9">
        <f t="shared" si="6"/>
        <v>1896</v>
      </c>
      <c r="B59">
        <f t="shared" si="7"/>
        <v>316</v>
      </c>
      <c r="C59" s="2">
        <f t="shared" si="18"/>
        <v>11.146572025215379</v>
      </c>
      <c r="D59" s="2">
        <f t="shared" si="19"/>
        <v>0.6966607515759612</v>
      </c>
      <c r="E59" s="11" t="s">
        <v>564</v>
      </c>
      <c r="F59" s="9">
        <v>30</v>
      </c>
      <c r="G59">
        <v>180</v>
      </c>
      <c r="H59">
        <v>13</v>
      </c>
      <c r="I59" s="6">
        <v>1.5</v>
      </c>
      <c r="J59">
        <v>0</v>
      </c>
      <c r="K59">
        <v>9</v>
      </c>
      <c r="L59">
        <v>2</v>
      </c>
      <c r="M59">
        <v>6</v>
      </c>
      <c r="N59">
        <v>3</v>
      </c>
      <c r="O59" s="32">
        <f t="shared" si="8"/>
        <v>6</v>
      </c>
      <c r="P59" s="9">
        <f t="shared" si="20"/>
        <v>20</v>
      </c>
      <c r="Q59" s="29">
        <f t="shared" si="17"/>
        <v>65</v>
      </c>
      <c r="R59" s="16">
        <f t="shared" si="9"/>
        <v>7.5</v>
      </c>
      <c r="S59" s="9">
        <f t="shared" si="10"/>
        <v>30</v>
      </c>
      <c r="T59" s="29">
        <f t="shared" si="21"/>
        <v>10</v>
      </c>
      <c r="U59" s="36">
        <f>316/F59</f>
        <v>10.533333333333333</v>
      </c>
      <c r="V59" s="9">
        <f t="shared" si="11"/>
        <v>63.2</v>
      </c>
      <c r="W59" s="9">
        <f t="shared" si="12"/>
        <v>136.93333333333334</v>
      </c>
      <c r="X59" s="9">
        <f t="shared" si="13"/>
        <v>94.8</v>
      </c>
      <c r="Y59" s="9">
        <f t="shared" si="14"/>
        <v>31.6</v>
      </c>
      <c r="Z59" s="9">
        <f t="shared" si="15"/>
        <v>0</v>
      </c>
      <c r="AA59" s="9">
        <f>I59*U59</f>
        <v>15.8</v>
      </c>
      <c r="AB59" s="9" t="s">
        <v>570</v>
      </c>
      <c r="AC59" s="9"/>
    </row>
    <row r="60" spans="1:29" ht="12.75">
      <c r="A60" s="9">
        <f t="shared" si="6"/>
        <v>280</v>
      </c>
      <c r="B60">
        <f t="shared" si="7"/>
        <v>78</v>
      </c>
      <c r="C60" s="2">
        <f t="shared" si="18"/>
        <v>2.751369044198733</v>
      </c>
      <c r="D60" s="2">
        <f t="shared" si="19"/>
        <v>0.17196056526242082</v>
      </c>
      <c r="E60" s="11" t="s">
        <v>1933</v>
      </c>
      <c r="F60" s="9">
        <v>78</v>
      </c>
      <c r="G60">
        <v>280</v>
      </c>
      <c r="H60">
        <v>5</v>
      </c>
      <c r="I60" s="6">
        <v>4</v>
      </c>
      <c r="J60">
        <v>10</v>
      </c>
      <c r="K60">
        <v>29</v>
      </c>
      <c r="L60">
        <v>6</v>
      </c>
      <c r="M60">
        <v>30</v>
      </c>
      <c r="N60">
        <v>0</v>
      </c>
      <c r="O60" s="2">
        <f t="shared" si="8"/>
        <v>3.58974358974359</v>
      </c>
      <c r="P60" s="29">
        <f t="shared" si="20"/>
        <v>38.46153846153846</v>
      </c>
      <c r="Q60" s="9">
        <f t="shared" si="17"/>
        <v>16.071428571428573</v>
      </c>
      <c r="R60" s="29">
        <f t="shared" si="9"/>
        <v>12.857142857142858</v>
      </c>
      <c r="S60" s="9">
        <f t="shared" si="10"/>
        <v>37.17948717948718</v>
      </c>
      <c r="T60" s="9">
        <f t="shared" si="21"/>
        <v>0</v>
      </c>
      <c r="U60" s="2">
        <v>1</v>
      </c>
      <c r="V60" s="16">
        <f t="shared" si="11"/>
        <v>30</v>
      </c>
      <c r="W60" s="9">
        <f t="shared" si="12"/>
        <v>5</v>
      </c>
      <c r="X60" s="9">
        <f t="shared" si="13"/>
        <v>29</v>
      </c>
      <c r="Y60" s="9">
        <f t="shared" si="14"/>
        <v>0</v>
      </c>
      <c r="Z60">
        <f t="shared" si="15"/>
        <v>10</v>
      </c>
      <c r="AA60">
        <f>I60*U60</f>
        <v>4</v>
      </c>
      <c r="AB60" s="9" t="s">
        <v>1345</v>
      </c>
      <c r="AC60" s="9"/>
    </row>
    <row r="61" spans="1:29" ht="12.75">
      <c r="A61" s="9">
        <f t="shared" si="6"/>
        <v>1581.0000000000002</v>
      </c>
      <c r="B61">
        <f t="shared" si="7"/>
        <v>279</v>
      </c>
      <c r="C61" s="2">
        <f t="shared" si="18"/>
        <v>9.841435427326237</v>
      </c>
      <c r="D61" s="2">
        <f t="shared" si="19"/>
        <v>0.6150897142078898</v>
      </c>
      <c r="E61" s="11" t="s">
        <v>1782</v>
      </c>
      <c r="F61" s="9">
        <v>30</v>
      </c>
      <c r="G61">
        <v>170</v>
      </c>
      <c r="H61">
        <v>15</v>
      </c>
      <c r="I61" s="6">
        <v>1</v>
      </c>
      <c r="J61">
        <v>0</v>
      </c>
      <c r="K61">
        <v>5</v>
      </c>
      <c r="L61">
        <v>1</v>
      </c>
      <c r="M61">
        <v>7</v>
      </c>
      <c r="N61">
        <v>4</v>
      </c>
      <c r="O61" s="2">
        <f t="shared" si="8"/>
        <v>5.666666666666667</v>
      </c>
      <c r="P61" s="9">
        <f t="shared" si="20"/>
        <v>23.333333333333332</v>
      </c>
      <c r="Q61" s="29">
        <f t="shared" si="17"/>
        <v>79.41176470588235</v>
      </c>
      <c r="R61" s="16">
        <f t="shared" si="9"/>
        <v>5.294117647058823</v>
      </c>
      <c r="S61" s="9">
        <f t="shared" si="10"/>
        <v>16.666666666666668</v>
      </c>
      <c r="T61" s="29">
        <f t="shared" si="21"/>
        <v>13.333333333333334</v>
      </c>
      <c r="U61" s="2">
        <f>279/F61</f>
        <v>9.3</v>
      </c>
      <c r="V61" s="9">
        <f t="shared" si="11"/>
        <v>65.10000000000001</v>
      </c>
      <c r="W61" s="9">
        <f t="shared" si="12"/>
        <v>139.5</v>
      </c>
      <c r="X61" s="9">
        <f t="shared" si="13"/>
        <v>46.5</v>
      </c>
      <c r="Y61" s="9">
        <f t="shared" si="14"/>
        <v>37.2</v>
      </c>
      <c r="Z61">
        <f t="shared" si="15"/>
        <v>0</v>
      </c>
      <c r="AA61" s="9">
        <f>I61*U61</f>
        <v>9.3</v>
      </c>
      <c r="AB61" s="9" t="s">
        <v>527</v>
      </c>
      <c r="AC61" s="9"/>
    </row>
    <row r="62" spans="1:27" ht="12.75">
      <c r="A62" s="9">
        <f>SUM(A51:A61)</f>
        <v>9345.179723502304</v>
      </c>
      <c r="B62">
        <v>0</v>
      </c>
      <c r="C62" s="9">
        <f>SUM(C51:C61)</f>
        <v>60.11546238291204</v>
      </c>
      <c r="D62" s="2">
        <f>C62/16</f>
        <v>3.7572163989320027</v>
      </c>
      <c r="E62" s="11" t="s">
        <v>1507</v>
      </c>
      <c r="J62" s="3"/>
      <c r="K62" s="3"/>
      <c r="L62" s="3"/>
      <c r="M62" s="9"/>
      <c r="O62" s="3"/>
      <c r="V62" s="9">
        <f aca="true" t="shared" si="22" ref="V62:AA62">SUM(V51:V61)</f>
        <v>302.04078341013826</v>
      </c>
      <c r="W62" s="9">
        <f t="shared" si="22"/>
        <v>676.1249615975422</v>
      </c>
      <c r="X62" s="9">
        <f t="shared" si="22"/>
        <v>546.3529953917051</v>
      </c>
      <c r="Y62" s="9">
        <f t="shared" si="22"/>
        <v>115.02887864823349</v>
      </c>
      <c r="Z62" s="9">
        <f t="shared" si="22"/>
        <v>87.67857142857143</v>
      </c>
      <c r="AA62" s="9">
        <f t="shared" si="22"/>
        <v>90.61363287250384</v>
      </c>
    </row>
    <row r="63" spans="3:28" ht="12.75">
      <c r="C63" s="2"/>
      <c r="D63" s="2"/>
      <c r="F63">
        <v>2.5</v>
      </c>
      <c r="G63" t="s">
        <v>534</v>
      </c>
      <c r="I63" s="34">
        <f>A62/F63</f>
        <v>3738.0718894009215</v>
      </c>
      <c r="J63" t="s">
        <v>536</v>
      </c>
      <c r="L63">
        <f>V62/F63</f>
        <v>120.8163133640553</v>
      </c>
      <c r="M63" t="s">
        <v>535</v>
      </c>
      <c r="O63">
        <f>Y62/F63</f>
        <v>46.01155145929339</v>
      </c>
      <c r="P63" t="s">
        <v>554</v>
      </c>
      <c r="R63">
        <f>AA62/F63</f>
        <v>36.245453149001534</v>
      </c>
      <c r="S63" t="s">
        <v>555</v>
      </c>
      <c r="V63" s="35">
        <f>4*V62</f>
        <v>1208.163133640553</v>
      </c>
      <c r="W63" s="35">
        <f>9*W62</f>
        <v>6085.12465437788</v>
      </c>
      <c r="X63" s="35">
        <f>4*X62</f>
        <v>2185.4119815668205</v>
      </c>
      <c r="AA63">
        <f>9*AA62</f>
        <v>815.5226958525345</v>
      </c>
      <c r="AB63" t="s">
        <v>697</v>
      </c>
    </row>
    <row r="64" spans="1:28" ht="12.75">
      <c r="A64">
        <v>0</v>
      </c>
      <c r="B64" s="9">
        <v>20</v>
      </c>
      <c r="C64" s="2">
        <f aca="true" t="shared" si="23" ref="C64:C69">B64/28.349523</f>
        <v>0.7054792421022392</v>
      </c>
      <c r="D64" s="2">
        <f aca="true" t="shared" si="24" ref="D64:D69">C64/16</f>
        <v>0.04409245263138995</v>
      </c>
      <c r="E64" s="11" t="s">
        <v>314</v>
      </c>
      <c r="V64" s="9">
        <f>V63*100/A62</f>
        <v>12.92819581203055</v>
      </c>
      <c r="W64" s="9">
        <f>100*W63/A62</f>
        <v>65.11511639604241</v>
      </c>
      <c r="X64" s="9">
        <f>X63*100/A62</f>
        <v>23.385446253866064</v>
      </c>
      <c r="Y64" s="2">
        <f>100*Y62/A62</f>
        <v>1.2308899566580405</v>
      </c>
      <c r="AA64">
        <f>100*AA63/A62</f>
        <v>8.726666794877863</v>
      </c>
      <c r="AB64" t="s">
        <v>1786</v>
      </c>
    </row>
    <row r="65" spans="1:11" ht="12.75">
      <c r="A65">
        <v>0</v>
      </c>
      <c r="B65" s="9">
        <v>17</v>
      </c>
      <c r="C65" s="2">
        <f t="shared" si="23"/>
        <v>0.5996573557869034</v>
      </c>
      <c r="D65" s="2">
        <f t="shared" si="24"/>
        <v>0.03747858473668146</v>
      </c>
      <c r="E65" s="12" t="s">
        <v>1473</v>
      </c>
      <c r="K65" s="33" t="s">
        <v>587</v>
      </c>
    </row>
    <row r="66" spans="1:12" ht="12.75">
      <c r="A66">
        <v>0</v>
      </c>
      <c r="B66" s="9">
        <v>5</v>
      </c>
      <c r="C66" s="2">
        <f t="shared" si="23"/>
        <v>0.1763698105255598</v>
      </c>
      <c r="D66" s="2">
        <f t="shared" si="24"/>
        <v>0.011023113157847488</v>
      </c>
      <c r="E66" s="11" t="s">
        <v>1064</v>
      </c>
      <c r="L66" t="s">
        <v>586</v>
      </c>
    </row>
    <row r="67" spans="1:12" ht="12.75">
      <c r="A67">
        <v>0</v>
      </c>
      <c r="B67" s="9">
        <v>33</v>
      </c>
      <c r="C67" s="2">
        <f t="shared" si="23"/>
        <v>1.1640407494686946</v>
      </c>
      <c r="D67" s="2">
        <f t="shared" si="24"/>
        <v>0.07275254684179341</v>
      </c>
      <c r="E67" s="11" t="s">
        <v>1479</v>
      </c>
      <c r="L67" t="s">
        <v>1781</v>
      </c>
    </row>
    <row r="68" spans="1:12" ht="12.75">
      <c r="A68">
        <v>0</v>
      </c>
      <c r="B68" s="9">
        <v>66</v>
      </c>
      <c r="C68" s="2">
        <f t="shared" si="23"/>
        <v>2.3280814989373892</v>
      </c>
      <c r="D68" s="2">
        <f t="shared" si="24"/>
        <v>0.14550509368358683</v>
      </c>
      <c r="E68" s="11" t="s">
        <v>944</v>
      </c>
      <c r="L68" t="s">
        <v>1796</v>
      </c>
    </row>
    <row r="69" spans="1:12" ht="12.75">
      <c r="A69">
        <v>0</v>
      </c>
      <c r="B69" s="9">
        <v>5</v>
      </c>
      <c r="C69" s="2">
        <f t="shared" si="23"/>
        <v>0.1763698105255598</v>
      </c>
      <c r="D69" s="2">
        <f t="shared" si="24"/>
        <v>0.011023113157847488</v>
      </c>
      <c r="E69" s="11" t="s">
        <v>1499</v>
      </c>
      <c r="L69" s="27" t="s">
        <v>1789</v>
      </c>
    </row>
    <row r="72" spans="1:5" ht="12.75">
      <c r="A72">
        <v>0</v>
      </c>
      <c r="B72" s="16">
        <v>39</v>
      </c>
      <c r="C72" s="3">
        <f aca="true" t="shared" si="25" ref="C72:C80">B72/28.349523</f>
        <v>1.3756845220993665</v>
      </c>
      <c r="D72" s="3">
        <f aca="true" t="shared" si="26" ref="D72:D80">C72/16</f>
        <v>0.08598028263121041</v>
      </c>
      <c r="E72" s="4" t="s">
        <v>1825</v>
      </c>
    </row>
    <row r="73" spans="1:5" ht="12.75">
      <c r="A73">
        <v>0</v>
      </c>
      <c r="B73" s="9">
        <v>8</v>
      </c>
      <c r="C73" s="3">
        <f t="shared" si="25"/>
        <v>0.2821916968408957</v>
      </c>
      <c r="D73" s="3">
        <f t="shared" si="26"/>
        <v>0.01763698105255598</v>
      </c>
      <c r="E73" s="11" t="s">
        <v>1826</v>
      </c>
    </row>
    <row r="74" spans="1:5" ht="12.75">
      <c r="A74">
        <v>0</v>
      </c>
      <c r="B74">
        <v>28</v>
      </c>
      <c r="C74" s="3">
        <f t="shared" si="25"/>
        <v>0.987670938943135</v>
      </c>
      <c r="D74" s="3">
        <f t="shared" si="26"/>
        <v>0.061729433683945935</v>
      </c>
      <c r="E74" s="13" t="s">
        <v>776</v>
      </c>
    </row>
    <row r="75" spans="1:5" ht="12.75">
      <c r="A75">
        <v>0</v>
      </c>
      <c r="B75">
        <f>187+37</f>
        <v>224</v>
      </c>
      <c r="C75" s="3">
        <f t="shared" si="25"/>
        <v>7.90136751154508</v>
      </c>
      <c r="D75" s="3">
        <f t="shared" si="26"/>
        <v>0.4938354694715675</v>
      </c>
      <c r="E75" s="13" t="s">
        <v>781</v>
      </c>
    </row>
    <row r="76" spans="1:5" ht="12.75">
      <c r="A76">
        <v>0</v>
      </c>
      <c r="B76" s="9">
        <v>324</v>
      </c>
      <c r="C76" s="2">
        <f t="shared" si="25"/>
        <v>11.428763722056276</v>
      </c>
      <c r="D76" s="2">
        <f t="shared" si="26"/>
        <v>0.7142977326285173</v>
      </c>
      <c r="E76" s="12" t="s">
        <v>1170</v>
      </c>
    </row>
    <row r="77" spans="1:5" ht="12.75">
      <c r="A77">
        <v>0</v>
      </c>
      <c r="B77" s="9">
        <v>66</v>
      </c>
      <c r="C77" s="2">
        <f t="shared" si="25"/>
        <v>2.3280814989373892</v>
      </c>
      <c r="D77" s="2">
        <f t="shared" si="26"/>
        <v>0.14550509368358683</v>
      </c>
      <c r="E77" s="12" t="s">
        <v>1816</v>
      </c>
    </row>
    <row r="78" spans="1:6" ht="12.75">
      <c r="A78">
        <v>0</v>
      </c>
      <c r="B78" s="9">
        <v>26</v>
      </c>
      <c r="C78" s="2">
        <f t="shared" si="25"/>
        <v>0.917123014732911</v>
      </c>
      <c r="D78" s="2">
        <f t="shared" si="26"/>
        <v>0.05732018842080694</v>
      </c>
      <c r="E78" s="11" t="s">
        <v>538</v>
      </c>
      <c r="F78" s="3"/>
    </row>
    <row r="79" spans="1:5" ht="12.75">
      <c r="A79">
        <v>0</v>
      </c>
      <c r="B79" s="9">
        <v>16</v>
      </c>
      <c r="C79" s="2">
        <f t="shared" si="25"/>
        <v>0.5643833936817914</v>
      </c>
      <c r="D79" s="2">
        <f t="shared" si="26"/>
        <v>0.03527396210511196</v>
      </c>
      <c r="E79" s="11" t="s">
        <v>41</v>
      </c>
    </row>
    <row r="80" spans="2:8" ht="12.75">
      <c r="B80" s="9">
        <f>SUM(B3:B79)</f>
        <v>7976.24468348</v>
      </c>
      <c r="C80" s="2">
        <f t="shared" si="25"/>
        <v>281.3537527061743</v>
      </c>
      <c r="D80" s="2">
        <f t="shared" si="26"/>
        <v>17.584609544135894</v>
      </c>
      <c r="E80" s="11" t="s">
        <v>338</v>
      </c>
      <c r="G80">
        <f>COUNT(B3:B79)</f>
        <v>72</v>
      </c>
      <c r="H80" t="s">
        <v>38</v>
      </c>
    </row>
    <row r="82" spans="2:29" ht="12.75">
      <c r="B82" s="9"/>
      <c r="C82" s="2"/>
      <c r="D82" s="2"/>
      <c r="E82" s="12" t="s">
        <v>1025</v>
      </c>
      <c r="AB82" t="s">
        <v>1732</v>
      </c>
      <c r="AC82" t="s">
        <v>1731</v>
      </c>
    </row>
    <row r="83" spans="1:29" ht="12.75">
      <c r="A83">
        <v>0</v>
      </c>
      <c r="B83" s="9">
        <v>50</v>
      </c>
      <c r="C83" s="2">
        <f aca="true" t="shared" si="27" ref="C83:C93">B83/28.349523</f>
        <v>1.763698105255598</v>
      </c>
      <c r="D83" s="2">
        <f aca="true" t="shared" si="28" ref="D83:D93">C83/16</f>
        <v>0.11023113157847488</v>
      </c>
      <c r="E83" s="12" t="s">
        <v>318</v>
      </c>
      <c r="S83" t="s">
        <v>540</v>
      </c>
      <c r="AB83">
        <v>3337</v>
      </c>
      <c r="AC83">
        <v>2.8</v>
      </c>
    </row>
    <row r="84" spans="1:29" ht="12.75">
      <c r="A84">
        <v>0</v>
      </c>
      <c r="B84" s="9">
        <v>107</v>
      </c>
      <c r="C84" s="2">
        <f>B84/28.349523</f>
        <v>3.7743139452469796</v>
      </c>
      <c r="D84" s="2">
        <f>C84/16</f>
        <v>0.23589462157793623</v>
      </c>
      <c r="E84" t="s">
        <v>1554</v>
      </c>
      <c r="S84" t="s">
        <v>541</v>
      </c>
      <c r="AB84">
        <v>2095</v>
      </c>
      <c r="AC84">
        <v>1.26</v>
      </c>
    </row>
    <row r="85" spans="1:29" ht="12.75">
      <c r="A85">
        <v>0</v>
      </c>
      <c r="B85" s="9">
        <v>35</v>
      </c>
      <c r="C85" s="2">
        <f t="shared" si="27"/>
        <v>1.2345886736789187</v>
      </c>
      <c r="D85" s="2">
        <f t="shared" si="28"/>
        <v>0.07716179210493242</v>
      </c>
      <c r="E85" s="12" t="s">
        <v>321</v>
      </c>
      <c r="S85" t="s">
        <v>542</v>
      </c>
      <c r="AB85">
        <v>100</v>
      </c>
      <c r="AC85">
        <v>1.26</v>
      </c>
    </row>
    <row r="86" spans="1:29" ht="12.75">
      <c r="A86">
        <v>0</v>
      </c>
      <c r="B86" s="9">
        <v>141</v>
      </c>
      <c r="C86" s="2">
        <f t="shared" si="27"/>
        <v>4.973628656820787</v>
      </c>
      <c r="D86" s="2">
        <f t="shared" si="28"/>
        <v>0.3108517910512992</v>
      </c>
      <c r="E86" s="12" t="s">
        <v>1172</v>
      </c>
      <c r="S86" t="s">
        <v>543</v>
      </c>
      <c r="AB86">
        <v>604</v>
      </c>
      <c r="AC86">
        <v>0.62</v>
      </c>
    </row>
    <row r="87" spans="1:29" ht="12.75">
      <c r="A87">
        <v>0</v>
      </c>
      <c r="B87" s="9">
        <v>55</v>
      </c>
      <c r="C87" s="2">
        <f t="shared" si="27"/>
        <v>1.9400679157811578</v>
      </c>
      <c r="D87" s="2">
        <f t="shared" si="28"/>
        <v>0.12125424473632236</v>
      </c>
      <c r="E87" s="12" t="s">
        <v>319</v>
      </c>
      <c r="S87" t="s">
        <v>544</v>
      </c>
      <c r="AB87">
        <v>2331</v>
      </c>
      <c r="AC87">
        <v>1.4</v>
      </c>
    </row>
    <row r="88" spans="1:29" ht="12.75">
      <c r="A88">
        <v>0</v>
      </c>
      <c r="B88" s="9">
        <v>1468</v>
      </c>
      <c r="C88" s="2">
        <f t="shared" si="27"/>
        <v>51.782176370304356</v>
      </c>
      <c r="D88" s="2">
        <f t="shared" si="28"/>
        <v>3.2363860231440222</v>
      </c>
      <c r="E88" t="s">
        <v>315</v>
      </c>
      <c r="G88" s="9"/>
      <c r="H88" s="3"/>
      <c r="I88" s="3"/>
      <c r="S88" t="s">
        <v>545</v>
      </c>
      <c r="AB88">
        <v>877</v>
      </c>
      <c r="AC88">
        <v>0.85</v>
      </c>
    </row>
    <row r="89" spans="1:29" ht="12.75">
      <c r="A89">
        <v>0</v>
      </c>
      <c r="B89" s="9">
        <f>164/2</f>
        <v>82</v>
      </c>
      <c r="C89" s="2">
        <f>B89/28.349523</f>
        <v>2.8924648926191807</v>
      </c>
      <c r="D89" s="2">
        <f>C89/16</f>
        <v>0.1807790557886988</v>
      </c>
      <c r="E89" t="s">
        <v>158</v>
      </c>
      <c r="S89" t="s">
        <v>546</v>
      </c>
      <c r="AB89">
        <v>50</v>
      </c>
      <c r="AC89">
        <v>1.36</v>
      </c>
    </row>
    <row r="90" spans="1:29" ht="12.75">
      <c r="A90">
        <v>0</v>
      </c>
      <c r="B90" s="9">
        <v>6</v>
      </c>
      <c r="C90" s="2">
        <f>B90/28.349523</f>
        <v>0.21164377263067177</v>
      </c>
      <c r="D90" s="2">
        <f>C90/16</f>
        <v>0.013227735789416986</v>
      </c>
      <c r="E90" s="12" t="s">
        <v>1518</v>
      </c>
      <c r="S90" t="s">
        <v>547</v>
      </c>
      <c r="AB90">
        <v>380</v>
      </c>
      <c r="AC90">
        <v>3.2</v>
      </c>
    </row>
    <row r="91" spans="1:29" ht="12.75">
      <c r="A91">
        <v>0</v>
      </c>
      <c r="B91" s="9">
        <v>25</v>
      </c>
      <c r="C91" s="2">
        <f>B91/28.349523</f>
        <v>0.881849052627799</v>
      </c>
      <c r="D91" s="2">
        <f t="shared" si="28"/>
        <v>0.05511556578923744</v>
      </c>
      <c r="E91" t="s">
        <v>1508</v>
      </c>
      <c r="S91" t="s">
        <v>548</v>
      </c>
      <c r="AB91">
        <f>SUM(AB83:AB90)</f>
        <v>9774</v>
      </c>
      <c r="AC91">
        <f>SUM(AC83:AC90)</f>
        <v>12.75</v>
      </c>
    </row>
    <row r="92" spans="1:29" ht="12.75">
      <c r="A92">
        <v>0</v>
      </c>
      <c r="B92" s="16">
        <v>53</v>
      </c>
      <c r="C92" s="2">
        <f t="shared" si="27"/>
        <v>1.869519991570934</v>
      </c>
      <c r="D92" s="2">
        <f t="shared" si="28"/>
        <v>0.11684499947318337</v>
      </c>
      <c r="E92" s="11" t="s">
        <v>1069</v>
      </c>
      <c r="S92" t="s">
        <v>549</v>
      </c>
      <c r="AC92" s="9">
        <f>(AC91*1.3)+(AB91*12/5280)</f>
        <v>38.788636363636364</v>
      </c>
    </row>
    <row r="93" spans="2:29" ht="12.75">
      <c r="B93" s="9">
        <f>SUM(B83:B92)</f>
        <v>2022</v>
      </c>
      <c r="C93" s="2">
        <f t="shared" si="27"/>
        <v>71.32395137653639</v>
      </c>
      <c r="D93" s="2">
        <f t="shared" si="28"/>
        <v>4.457746961033524</v>
      </c>
      <c r="E93" s="11" t="s">
        <v>1509</v>
      </c>
      <c r="S93" t="s">
        <v>550</v>
      </c>
      <c r="AC93" s="9">
        <f>500*AC92/4.5</f>
        <v>4309.848484848485</v>
      </c>
    </row>
    <row r="94" spans="2:29" ht="12.75">
      <c r="B94" s="9">
        <f>B80+B93</f>
        <v>9998.24468348</v>
      </c>
      <c r="C94" s="2">
        <f>B94/28.349523</f>
        <v>352.67770408271065</v>
      </c>
      <c r="D94" s="2">
        <f>C94/16</f>
        <v>22.042356505169415</v>
      </c>
      <c r="E94" s="11" t="s">
        <v>1511</v>
      </c>
      <c r="S94" t="s">
        <v>551</v>
      </c>
      <c r="AC94">
        <f>2.5*2500</f>
        <v>6250</v>
      </c>
    </row>
    <row r="95" spans="2:29" ht="12.75">
      <c r="B95" s="9"/>
      <c r="C95" s="9"/>
      <c r="D95" s="2"/>
      <c r="E95" s="11"/>
      <c r="S95" t="s">
        <v>552</v>
      </c>
      <c r="AC95" s="9">
        <f>AC93+AC94</f>
        <v>10559.848484848484</v>
      </c>
    </row>
    <row r="96" spans="2:29" ht="12.75">
      <c r="B96" s="9"/>
      <c r="C96" s="9"/>
      <c r="D96" s="2"/>
      <c r="E96" s="11"/>
      <c r="S96" t="s">
        <v>557</v>
      </c>
      <c r="AC96" s="9">
        <f>2.5*13000/3.5</f>
        <v>9285.714285714286</v>
      </c>
    </row>
    <row r="97" spans="2:29" ht="12.75">
      <c r="B97" s="16"/>
      <c r="C97" s="3"/>
      <c r="D97" s="3"/>
      <c r="E97" s="4"/>
      <c r="S97" t="s">
        <v>558</v>
      </c>
      <c r="AC97">
        <v>8552</v>
      </c>
    </row>
    <row r="99" spans="2:5" ht="12.75">
      <c r="B99" s="9"/>
      <c r="C99" s="2"/>
      <c r="D99" s="2"/>
      <c r="E99" s="15" t="s">
        <v>1021</v>
      </c>
    </row>
    <row r="100" spans="2:9" ht="12.75">
      <c r="B100" s="9">
        <v>41</v>
      </c>
      <c r="C100" s="2">
        <f aca="true" t="shared" si="29" ref="C100:C110">B100/28.349523</f>
        <v>1.4462324463095904</v>
      </c>
      <c r="D100" s="2">
        <f aca="true" t="shared" si="30" ref="D100:D110">C100/16</f>
        <v>0.0903895278943494</v>
      </c>
      <c r="E100" s="11" t="s">
        <v>1009</v>
      </c>
      <c r="I100" t="s">
        <v>1363</v>
      </c>
    </row>
    <row r="101" spans="2:9" ht="15">
      <c r="B101" s="9">
        <v>280</v>
      </c>
      <c r="C101" s="2">
        <f t="shared" si="29"/>
        <v>9.87670938943135</v>
      </c>
      <c r="D101" s="2">
        <f t="shared" si="30"/>
        <v>0.6172943368394593</v>
      </c>
      <c r="E101" s="12" t="s">
        <v>1475</v>
      </c>
      <c r="I101" s="31" t="s">
        <v>1346</v>
      </c>
    </row>
    <row r="102" spans="2:12" ht="15">
      <c r="B102" s="9">
        <v>18</v>
      </c>
      <c r="C102" s="2">
        <f t="shared" si="29"/>
        <v>0.6349313178920153</v>
      </c>
      <c r="D102" s="2">
        <f t="shared" si="30"/>
        <v>0.039683207368250956</v>
      </c>
      <c r="E102" s="12" t="s">
        <v>2073</v>
      </c>
      <c r="I102" s="31" t="s">
        <v>1347</v>
      </c>
      <c r="J102" s="30"/>
      <c r="K102" s="30"/>
      <c r="L102" s="30"/>
    </row>
    <row r="103" spans="2:9" ht="15">
      <c r="B103" s="9">
        <v>35</v>
      </c>
      <c r="C103" s="2">
        <f t="shared" si="29"/>
        <v>1.2345886736789187</v>
      </c>
      <c r="D103" s="2">
        <f t="shared" si="30"/>
        <v>0.07716179210493242</v>
      </c>
      <c r="E103" t="s">
        <v>1980</v>
      </c>
      <c r="I103" s="31" t="s">
        <v>1348</v>
      </c>
    </row>
    <row r="104" spans="2:9" ht="15">
      <c r="B104" s="9">
        <v>57</v>
      </c>
      <c r="C104" s="2">
        <f t="shared" si="29"/>
        <v>2.010615839991382</v>
      </c>
      <c r="D104" s="2">
        <f t="shared" si="30"/>
        <v>0.12566348999946136</v>
      </c>
      <c r="E104" s="12" t="s">
        <v>1955</v>
      </c>
      <c r="I104" s="31" t="s">
        <v>1349</v>
      </c>
    </row>
    <row r="105" spans="2:9" ht="15">
      <c r="B105" s="9">
        <f>112</f>
        <v>112</v>
      </c>
      <c r="C105" s="2">
        <f t="shared" si="29"/>
        <v>3.95068375577254</v>
      </c>
      <c r="D105" s="2">
        <f t="shared" si="30"/>
        <v>0.24691773473578374</v>
      </c>
      <c r="E105" s="12" t="s">
        <v>494</v>
      </c>
      <c r="I105" s="31" t="s">
        <v>1350</v>
      </c>
    </row>
    <row r="106" spans="2:9" ht="15">
      <c r="B106" s="9">
        <v>753</v>
      </c>
      <c r="C106" s="2">
        <f t="shared" si="29"/>
        <v>26.561293465149305</v>
      </c>
      <c r="D106" s="2">
        <f t="shared" si="30"/>
        <v>1.6600808415718316</v>
      </c>
      <c r="E106" s="12" t="s">
        <v>3</v>
      </c>
      <c r="I106" s="31" t="s">
        <v>1351</v>
      </c>
    </row>
    <row r="107" spans="2:9" ht="15">
      <c r="B107" s="9">
        <v>207</v>
      </c>
      <c r="C107" s="2">
        <f t="shared" si="29"/>
        <v>7.301710155758176</v>
      </c>
      <c r="D107" s="2">
        <f t="shared" si="30"/>
        <v>0.456356884734886</v>
      </c>
      <c r="E107" s="12" t="s">
        <v>1894</v>
      </c>
      <c r="H107" s="3"/>
      <c r="I107" s="31" t="s">
        <v>1352</v>
      </c>
    </row>
    <row r="108" spans="2:9" ht="15">
      <c r="B108" s="9">
        <v>125</v>
      </c>
      <c r="C108" s="2">
        <f t="shared" si="29"/>
        <v>4.409245263138995</v>
      </c>
      <c r="D108" s="2">
        <f t="shared" si="30"/>
        <v>0.2755778289461872</v>
      </c>
      <c r="E108" s="12" t="s">
        <v>1171</v>
      </c>
      <c r="I108" s="31" t="s">
        <v>1353</v>
      </c>
    </row>
    <row r="109" spans="2:9" ht="15">
      <c r="B109" s="9">
        <v>7</v>
      </c>
      <c r="C109" s="2">
        <f t="shared" si="29"/>
        <v>0.24691773473578374</v>
      </c>
      <c r="D109" s="2">
        <f t="shared" si="30"/>
        <v>0.015432358420986484</v>
      </c>
      <c r="E109" s="11" t="s">
        <v>70</v>
      </c>
      <c r="I109" s="31" t="s">
        <v>1354</v>
      </c>
    </row>
    <row r="110" spans="2:9" ht="15">
      <c r="B110" s="9">
        <v>13</v>
      </c>
      <c r="C110" s="2">
        <f t="shared" si="29"/>
        <v>0.4585615073664555</v>
      </c>
      <c r="D110" s="2">
        <f t="shared" si="30"/>
        <v>0.02866009421040347</v>
      </c>
      <c r="E110" s="11" t="s">
        <v>1685</v>
      </c>
      <c r="I110" s="31" t="s">
        <v>1355</v>
      </c>
    </row>
    <row r="111" spans="2:9" ht="15">
      <c r="B111" s="9"/>
      <c r="C111" s="2"/>
      <c r="D111" s="2"/>
      <c r="E111" s="11" t="s">
        <v>1066</v>
      </c>
      <c r="I111" s="31"/>
    </row>
    <row r="112" spans="3:9" ht="15">
      <c r="C112" s="2"/>
      <c r="D112" s="2"/>
      <c r="I112" s="31" t="s">
        <v>1356</v>
      </c>
    </row>
    <row r="113" spans="3:9" ht="15">
      <c r="C113" s="2"/>
      <c r="D113" s="2"/>
      <c r="E113" s="12" t="s">
        <v>1686</v>
      </c>
      <c r="I113" s="31" t="s">
        <v>1357</v>
      </c>
    </row>
    <row r="114" spans="3:9" ht="15">
      <c r="C114" s="2"/>
      <c r="D114" s="2"/>
      <c r="E114" s="12" t="s">
        <v>1564</v>
      </c>
      <c r="I114" s="31" t="s">
        <v>1348</v>
      </c>
    </row>
    <row r="115" spans="3:9" ht="15">
      <c r="C115" s="2"/>
      <c r="D115" s="2"/>
      <c r="E115" s="12" t="s">
        <v>1695</v>
      </c>
      <c r="I115" s="31" t="s">
        <v>1358</v>
      </c>
    </row>
    <row r="116" spans="2:9" ht="15">
      <c r="B116" s="9"/>
      <c r="C116" s="2"/>
      <c r="D116" s="2"/>
      <c r="E116" s="12" t="s">
        <v>1696</v>
      </c>
      <c r="I116" s="31" t="s">
        <v>1350</v>
      </c>
    </row>
    <row r="117" spans="3:9" ht="15">
      <c r="C117" s="2"/>
      <c r="D117" s="2"/>
      <c r="E117" s="12" t="s">
        <v>1697</v>
      </c>
      <c r="I117" s="31" t="s">
        <v>1359</v>
      </c>
    </row>
    <row r="118" spans="3:9" ht="15">
      <c r="C118" s="2"/>
      <c r="D118" s="2"/>
      <c r="E118" s="12" t="s">
        <v>959</v>
      </c>
      <c r="I118" s="31" t="s">
        <v>1360</v>
      </c>
    </row>
    <row r="119" spans="2:9" ht="15">
      <c r="B119" s="9"/>
      <c r="C119" s="2"/>
      <c r="D119" s="2"/>
      <c r="E119" s="12" t="s">
        <v>1996</v>
      </c>
      <c r="I119" s="31" t="s">
        <v>1353</v>
      </c>
    </row>
    <row r="120" spans="2:9" ht="15">
      <c r="B120" s="9"/>
      <c r="C120" s="2"/>
      <c r="D120" s="2"/>
      <c r="E120" s="12" t="s">
        <v>1472</v>
      </c>
      <c r="I120" s="31" t="s">
        <v>1361</v>
      </c>
    </row>
    <row r="121" spans="2:9" ht="15">
      <c r="B121" s="9"/>
      <c r="C121" s="2"/>
      <c r="D121" s="2"/>
      <c r="E121" s="12" t="s">
        <v>1998</v>
      </c>
      <c r="I121" s="31" t="s">
        <v>1362</v>
      </c>
    </row>
    <row r="122" spans="2:5" ht="12.75">
      <c r="B122" s="9"/>
      <c r="C122" s="2"/>
      <c r="D122" s="2"/>
      <c r="E122" s="12" t="s">
        <v>1999</v>
      </c>
    </row>
    <row r="123" spans="2:9" ht="15">
      <c r="B123" s="9"/>
      <c r="C123" s="2"/>
      <c r="D123" s="2"/>
      <c r="E123" s="12" t="s">
        <v>2000</v>
      </c>
      <c r="I123" s="31" t="s">
        <v>1364</v>
      </c>
    </row>
    <row r="124" spans="2:9" ht="15">
      <c r="B124" s="9"/>
      <c r="C124" s="2"/>
      <c r="D124" s="2"/>
      <c r="E124" s="12" t="s">
        <v>2001</v>
      </c>
      <c r="I124" s="31"/>
    </row>
    <row r="125" spans="2:9" ht="15">
      <c r="B125" s="9"/>
      <c r="C125" s="2"/>
      <c r="D125" s="2"/>
      <c r="E125" s="12" t="s">
        <v>1683</v>
      </c>
      <c r="I125" s="31" t="s">
        <v>1348</v>
      </c>
    </row>
    <row r="126" spans="2:9" ht="15">
      <c r="B126" s="9"/>
      <c r="C126" s="2"/>
      <c r="D126" s="2"/>
      <c r="E126" s="12" t="s">
        <v>1684</v>
      </c>
      <c r="I126" s="31" t="s">
        <v>1365</v>
      </c>
    </row>
    <row r="127" spans="2:9" ht="15">
      <c r="B127" s="9"/>
      <c r="C127" s="2"/>
      <c r="D127" s="2"/>
      <c r="E127" s="12" t="s">
        <v>1690</v>
      </c>
      <c r="I127" s="31" t="s">
        <v>518</v>
      </c>
    </row>
    <row r="128" spans="2:5" ht="12.75">
      <c r="B128" s="9"/>
      <c r="C128" s="2"/>
      <c r="D128" s="2"/>
      <c r="E128" s="12" t="s">
        <v>1691</v>
      </c>
    </row>
    <row r="129" spans="2:5" ht="12.75">
      <c r="B129" s="9"/>
      <c r="C129" s="2"/>
      <c r="D129" s="2"/>
      <c r="E129" s="12" t="s">
        <v>1692</v>
      </c>
    </row>
    <row r="130" spans="2:5" ht="12.75">
      <c r="B130" s="9"/>
      <c r="C130" s="2"/>
      <c r="D130" s="2"/>
      <c r="E130" s="12" t="s">
        <v>1563</v>
      </c>
    </row>
    <row r="131" spans="2:5" ht="12.75">
      <c r="B131" s="9"/>
      <c r="C131" s="2"/>
      <c r="D131" s="2"/>
      <c r="E131" s="12" t="s">
        <v>1698</v>
      </c>
    </row>
    <row r="132" spans="2:5" ht="12.75">
      <c r="B132" s="9"/>
      <c r="C132" s="2"/>
      <c r="D132" s="2"/>
      <c r="E132" s="12" t="s">
        <v>1702</v>
      </c>
    </row>
    <row r="133" spans="2:5" ht="12.75">
      <c r="B133" s="9"/>
      <c r="C133" s="2"/>
      <c r="D133" s="2"/>
      <c r="E133" s="12" t="s">
        <v>958</v>
      </c>
    </row>
    <row r="134" spans="2:5" ht="12.75">
      <c r="B134" s="9"/>
      <c r="C134" s="2"/>
      <c r="D134" s="2"/>
      <c r="E134" s="12" t="s">
        <v>1476</v>
      </c>
    </row>
    <row r="135" spans="2:5" ht="12.75">
      <c r="B135" s="9"/>
      <c r="C135" s="2"/>
      <c r="D135" s="2"/>
      <c r="E135" s="11" t="s">
        <v>492</v>
      </c>
    </row>
    <row r="155" ht="12.75">
      <c r="B155" s="9"/>
    </row>
    <row r="156" ht="12.75">
      <c r="B156" s="9"/>
    </row>
    <row r="158" ht="12.75">
      <c r="B158" s="9"/>
    </row>
    <row r="159" ht="12.75">
      <c r="B159" s="9"/>
    </row>
    <row r="160" ht="12.75">
      <c r="B160" s="9"/>
    </row>
    <row r="161" ht="12.75">
      <c r="B161" s="9"/>
    </row>
    <row r="162" ht="12.75">
      <c r="B162" s="9"/>
    </row>
    <row r="166" ht="12.75">
      <c r="E166" s="13"/>
    </row>
    <row r="167" spans="1:5" ht="12.75">
      <c r="A167" s="9"/>
      <c r="E167"/>
    </row>
    <row r="169" spans="1:7" ht="12.75">
      <c r="A169" s="9"/>
      <c r="B169" s="9"/>
      <c r="C169" s="2"/>
      <c r="D169" s="2"/>
      <c r="E169" s="15"/>
      <c r="G169" s="3"/>
    </row>
    <row r="170" spans="2:4" ht="12.75">
      <c r="B170" s="9"/>
      <c r="C170" s="2"/>
      <c r="D170" s="2"/>
    </row>
    <row r="171" spans="2:4" ht="12.75">
      <c r="B171" s="9"/>
      <c r="C171" s="2"/>
      <c r="D171" s="2"/>
    </row>
    <row r="172" spans="2:5" ht="17.25" customHeight="1">
      <c r="B172" s="9"/>
      <c r="C172" s="2"/>
      <c r="D172" s="2"/>
      <c r="E172" s="14"/>
    </row>
    <row r="173" spans="2:5" ht="12.75">
      <c r="B173" s="9"/>
      <c r="C173" s="2"/>
      <c r="D173" s="2"/>
      <c r="E173" s="11"/>
    </row>
    <row r="174" spans="2:5" ht="12.75" customHeight="1">
      <c r="B174" s="9"/>
      <c r="C174" s="2"/>
      <c r="D174" s="2"/>
      <c r="E174" s="11"/>
    </row>
    <row r="175" spans="2:5" ht="12.75" customHeight="1">
      <c r="B175" s="9"/>
      <c r="C175" s="2"/>
      <c r="D175" s="2"/>
      <c r="E175" s="11"/>
    </row>
    <row r="176" spans="2:14" ht="12.75">
      <c r="B176" s="9"/>
      <c r="C176" s="2"/>
      <c r="D176" s="2"/>
      <c r="N176" s="9"/>
    </row>
    <row r="177" spans="2:4" ht="12.75">
      <c r="B177" s="9"/>
      <c r="C177" s="2"/>
      <c r="D177" s="2"/>
    </row>
    <row r="178" spans="2:5" ht="12.75">
      <c r="B178" s="9"/>
      <c r="C178" s="2"/>
      <c r="D178" s="2"/>
      <c r="E178" s="4"/>
    </row>
    <row r="179" spans="2:4" ht="12.75">
      <c r="B179" s="9"/>
      <c r="C179" s="2"/>
      <c r="D179" s="2"/>
    </row>
    <row r="180" spans="2:4" ht="12.75">
      <c r="B180" s="9"/>
      <c r="C180" s="2"/>
      <c r="D180" s="2"/>
    </row>
    <row r="181" spans="2:4" ht="12.75">
      <c r="B181" s="9"/>
      <c r="C181" s="2"/>
      <c r="D181" s="2"/>
    </row>
    <row r="182" spans="2:4" ht="12.75">
      <c r="B182" s="9"/>
      <c r="C182" s="2"/>
      <c r="D182" s="2"/>
    </row>
    <row r="183" spans="2:4" ht="12.75">
      <c r="B183" s="9"/>
      <c r="C183" s="2"/>
      <c r="D183" s="2"/>
    </row>
    <row r="184" spans="2:4" ht="12.75">
      <c r="B184" s="9"/>
      <c r="C184" s="2"/>
      <c r="D184" s="2"/>
    </row>
    <row r="185" spans="2:5" ht="12.75">
      <c r="B185" s="9"/>
      <c r="C185" s="2"/>
      <c r="D185" s="2"/>
      <c r="E185" s="11"/>
    </row>
    <row r="186" spans="2:4" ht="12.75">
      <c r="B186" s="9"/>
      <c r="C186" s="2"/>
      <c r="D186" s="2"/>
    </row>
    <row r="187" spans="2:4" ht="12.75">
      <c r="B187" s="9"/>
      <c r="C187" s="2"/>
      <c r="D187" s="2"/>
    </row>
    <row r="188" spans="2:4" ht="12.75">
      <c r="B188" s="16"/>
      <c r="C188" s="2"/>
      <c r="D188" s="2"/>
    </row>
    <row r="189" spans="2:4" ht="12.75">
      <c r="B189" s="9"/>
      <c r="C189" s="2"/>
      <c r="D189" s="2"/>
    </row>
    <row r="190" spans="2:5" ht="12.75">
      <c r="B190" s="9"/>
      <c r="C190" s="2"/>
      <c r="D190" s="2"/>
      <c r="E190" s="11"/>
    </row>
    <row r="191" spans="2:5" ht="12.75">
      <c r="B191" s="9"/>
      <c r="C191" s="2"/>
      <c r="D191" s="2"/>
      <c r="E191" s="11"/>
    </row>
    <row r="192" spans="2:5" ht="12.75">
      <c r="B192" s="9"/>
      <c r="C192" s="2"/>
      <c r="D192" s="2"/>
      <c r="E192" s="11"/>
    </row>
    <row r="193" spans="2:5" ht="12.75">
      <c r="B193" s="16"/>
      <c r="C193" s="2"/>
      <c r="D193" s="2"/>
      <c r="E193" s="13"/>
    </row>
    <row r="194" spans="2:4" ht="12.75">
      <c r="B194" s="9"/>
      <c r="C194" s="2"/>
      <c r="D194" s="2"/>
    </row>
    <row r="195" ht="12.75">
      <c r="B195" s="9"/>
    </row>
    <row r="196" ht="12.75">
      <c r="B196" s="9"/>
    </row>
    <row r="197" ht="12.75">
      <c r="B197" s="9"/>
    </row>
    <row r="198" ht="12.75">
      <c r="B198" s="9"/>
    </row>
    <row r="199" ht="12.75">
      <c r="B199" s="9"/>
    </row>
    <row r="200" ht="12.75">
      <c r="B200" s="9"/>
    </row>
    <row r="201" ht="12.75">
      <c r="B201" s="9"/>
    </row>
    <row r="202" ht="12.75">
      <c r="B202" s="9"/>
    </row>
    <row r="203" ht="12.75">
      <c r="B203" s="9"/>
    </row>
    <row r="204" ht="12.75">
      <c r="B204" s="9"/>
    </row>
    <row r="205" ht="12.75">
      <c r="B205" s="9"/>
    </row>
    <row r="206" ht="12.75">
      <c r="B206" s="9"/>
    </row>
  </sheetData>
  <printOptions/>
  <pageMargins left="0.5" right="0" top="0.5" bottom="0.5" header="0" footer="0"/>
  <pageSetup horizontalDpi="300" verticalDpi="300" orientation="landscape" paperSize="3" r:id="rId1"/>
</worksheet>
</file>

<file path=xl/worksheets/sheet33.xml><?xml version="1.0" encoding="utf-8"?>
<worksheet xmlns="http://schemas.openxmlformats.org/spreadsheetml/2006/main" xmlns:r="http://schemas.openxmlformats.org/officeDocument/2006/relationships">
  <dimension ref="A1:O168"/>
  <sheetViews>
    <sheetView workbookViewId="0" topLeftCell="A1">
      <pane ySplit="1" topLeftCell="BM98" activePane="bottomLeft" state="frozen"/>
      <selection pane="topLeft" activeCell="A1" sqref="A1"/>
      <selection pane="bottomLeft" activeCell="E3" sqref="E3"/>
    </sheetView>
  </sheetViews>
  <sheetFormatPr defaultColWidth="9.140625" defaultRowHeight="12.75"/>
  <cols>
    <col min="2" max="2" width="6.421875" style="0" customWidth="1"/>
    <col min="3" max="3" width="7.140625" style="0" customWidth="1"/>
    <col min="4" max="4" width="6.7109375" style="0" customWidth="1"/>
    <col min="5" max="5" width="26.140625" style="12" customWidth="1"/>
  </cols>
  <sheetData>
    <row r="1" spans="1:5" ht="12.75">
      <c r="A1" t="s">
        <v>697</v>
      </c>
      <c r="B1" t="s">
        <v>1603</v>
      </c>
      <c r="C1" t="s">
        <v>2074</v>
      </c>
      <c r="D1" t="s">
        <v>1242</v>
      </c>
      <c r="E1" s="12" t="s">
        <v>2075</v>
      </c>
    </row>
    <row r="2" ht="12.75">
      <c r="E2" s="12" t="s">
        <v>495</v>
      </c>
    </row>
    <row r="3" spans="2:5" ht="12.75">
      <c r="B3">
        <v>20</v>
      </c>
      <c r="C3" s="3">
        <f aca="true" t="shared" si="0" ref="C3:C10">B3/28.349523</f>
        <v>0.7054792421022392</v>
      </c>
      <c r="D3" s="3">
        <f aca="true" t="shared" si="1" ref="D3:D10">C3/16</f>
        <v>0.04409245263138995</v>
      </c>
      <c r="E3" s="12" t="s">
        <v>1818</v>
      </c>
    </row>
    <row r="4" spans="2:5" ht="12.75">
      <c r="B4">
        <v>9</v>
      </c>
      <c r="C4" s="3">
        <f t="shared" si="0"/>
        <v>0.31746565894600765</v>
      </c>
      <c r="D4" s="3">
        <f t="shared" si="1"/>
        <v>0.019841603684125478</v>
      </c>
      <c r="E4" s="12" t="s">
        <v>947</v>
      </c>
    </row>
    <row r="5" spans="2:5" ht="12.75">
      <c r="B5">
        <v>16</v>
      </c>
      <c r="C5" s="3">
        <f t="shared" si="0"/>
        <v>0.5643833936817914</v>
      </c>
      <c r="D5" s="3">
        <f t="shared" si="1"/>
        <v>0.03527396210511196</v>
      </c>
      <c r="E5" s="12" t="s">
        <v>1700</v>
      </c>
    </row>
    <row r="6" spans="2:5" ht="12.75">
      <c r="B6">
        <v>12</v>
      </c>
      <c r="C6" s="3">
        <f t="shared" si="0"/>
        <v>0.42328754526134355</v>
      </c>
      <c r="D6" s="3">
        <f t="shared" si="1"/>
        <v>0.02645547157883397</v>
      </c>
      <c r="E6" s="12" t="s">
        <v>1687</v>
      </c>
    </row>
    <row r="7" spans="2:5" ht="12.75">
      <c r="B7">
        <v>3</v>
      </c>
      <c r="C7" s="3">
        <f t="shared" si="0"/>
        <v>0.10582188631533589</v>
      </c>
      <c r="D7" s="3">
        <f t="shared" si="1"/>
        <v>0.006613867894708493</v>
      </c>
      <c r="E7" s="12" t="s">
        <v>1222</v>
      </c>
    </row>
    <row r="8" spans="2:5" ht="12.75">
      <c r="B8" s="6">
        <v>257</v>
      </c>
      <c r="C8" s="3">
        <f t="shared" si="0"/>
        <v>9.065408261013774</v>
      </c>
      <c r="D8" s="3">
        <f t="shared" si="1"/>
        <v>0.5665880163133609</v>
      </c>
      <c r="E8" s="13" t="s">
        <v>1668</v>
      </c>
    </row>
    <row r="9" spans="2:5" ht="12.75">
      <c r="B9">
        <v>163</v>
      </c>
      <c r="C9" s="3">
        <f t="shared" si="0"/>
        <v>5.749655823133249</v>
      </c>
      <c r="D9" s="3">
        <f t="shared" si="1"/>
        <v>0.3593534889458281</v>
      </c>
      <c r="E9" s="4" t="s">
        <v>1711</v>
      </c>
    </row>
    <row r="10" spans="2:5" ht="12.75">
      <c r="B10" s="9">
        <v>814</v>
      </c>
      <c r="C10" s="3">
        <f t="shared" si="0"/>
        <v>28.713005153561138</v>
      </c>
      <c r="D10" s="3">
        <f t="shared" si="1"/>
        <v>1.7945628220975711</v>
      </c>
      <c r="E10" t="s">
        <v>1704</v>
      </c>
    </row>
    <row r="11" spans="3:4" ht="12.75">
      <c r="C11" s="3"/>
      <c r="D11" s="3"/>
    </row>
    <row r="12" spans="2:5" ht="12.75">
      <c r="B12">
        <v>1105</v>
      </c>
      <c r="C12" s="3">
        <f>B12/28.349523</f>
        <v>38.97772812614872</v>
      </c>
      <c r="D12" s="3">
        <f>C12/16</f>
        <v>2.436108007884295</v>
      </c>
      <c r="E12" s="12" t="s">
        <v>1701</v>
      </c>
    </row>
    <row r="14" spans="2:5" ht="12.75">
      <c r="B14" s="10">
        <v>44</v>
      </c>
      <c r="C14" s="3">
        <f>B14/28.349523</f>
        <v>1.5520543326249263</v>
      </c>
      <c r="D14" s="3">
        <f>C14/16</f>
        <v>0.0970033957890579</v>
      </c>
      <c r="E14" s="11" t="s">
        <v>726</v>
      </c>
    </row>
    <row r="15" spans="2:5" ht="12.75">
      <c r="B15" s="9">
        <v>163</v>
      </c>
      <c r="C15" s="3">
        <f>B15/28.349523</f>
        <v>5.749655823133249</v>
      </c>
      <c r="D15" s="3">
        <f>C15/16</f>
        <v>0.3593534889458281</v>
      </c>
      <c r="E15" t="s">
        <v>1001</v>
      </c>
    </row>
    <row r="16" spans="2:5" ht="12.75">
      <c r="B16">
        <v>92</v>
      </c>
      <c r="C16" s="3">
        <f>B16/28.349523</f>
        <v>3.2452045136703003</v>
      </c>
      <c r="D16" s="3">
        <f>C16/16</f>
        <v>0.20282528210439377</v>
      </c>
      <c r="E16" s="12" t="s">
        <v>1028</v>
      </c>
    </row>
    <row r="17" spans="2:5" ht="12.75">
      <c r="B17">
        <v>94</v>
      </c>
      <c r="C17" s="3">
        <f>B17/28.349523</f>
        <v>3.3157524378805245</v>
      </c>
      <c r="D17" s="3">
        <f>C17/16</f>
        <v>0.20723452736753278</v>
      </c>
      <c r="E17" s="12" t="s">
        <v>1027</v>
      </c>
    </row>
    <row r="18" spans="2:5" ht="12.75">
      <c r="B18" s="9">
        <v>236</v>
      </c>
      <c r="C18" s="3">
        <f>B18/28.349523</f>
        <v>8.324655056806423</v>
      </c>
      <c r="D18" s="3">
        <f>C18/16</f>
        <v>0.5202909410504014</v>
      </c>
      <c r="E18" t="s">
        <v>2071</v>
      </c>
    </row>
    <row r="20" spans="2:5" ht="12.75">
      <c r="B20" s="9">
        <f>112</f>
        <v>112</v>
      </c>
      <c r="C20" s="3">
        <f>B20/28.349523</f>
        <v>3.95068375577254</v>
      </c>
      <c r="D20" s="3">
        <f>C20/16</f>
        <v>0.24691773473578374</v>
      </c>
      <c r="E20" s="12" t="s">
        <v>494</v>
      </c>
    </row>
    <row r="21" spans="2:5" ht="12.75">
      <c r="B21">
        <v>286</v>
      </c>
      <c r="C21" s="3">
        <f>B21/28.349523</f>
        <v>10.08835316206202</v>
      </c>
      <c r="D21" s="3">
        <f>C21/16</f>
        <v>0.6305220726288763</v>
      </c>
      <c r="E21" s="12" t="s">
        <v>1015</v>
      </c>
    </row>
    <row r="23" spans="2:5" ht="12.75">
      <c r="B23" s="9">
        <v>107</v>
      </c>
      <c r="C23" s="3">
        <f>B23/28.349523</f>
        <v>3.7743139452469796</v>
      </c>
      <c r="D23" s="3">
        <f>C23/16</f>
        <v>0.23589462157793623</v>
      </c>
      <c r="E23" t="s">
        <v>943</v>
      </c>
    </row>
    <row r="25" spans="2:5" ht="12.75">
      <c r="B25" s="9">
        <v>55</v>
      </c>
      <c r="E25" s="12" t="s">
        <v>1024</v>
      </c>
    </row>
    <row r="27" spans="2:5" ht="12.75">
      <c r="B27">
        <v>55</v>
      </c>
      <c r="E27" s="12" t="s">
        <v>1033</v>
      </c>
    </row>
    <row r="28" spans="2:5" ht="12.75">
      <c r="B28" s="5">
        <v>32</v>
      </c>
      <c r="C28" s="3">
        <f>B28/28.349523</f>
        <v>1.1287667873635827</v>
      </c>
      <c r="D28" s="3">
        <f>C28/16</f>
        <v>0.07054792421022392</v>
      </c>
      <c r="E28" s="13" t="s">
        <v>64</v>
      </c>
    </row>
    <row r="30" spans="2:8" ht="12.75">
      <c r="B30">
        <v>29</v>
      </c>
      <c r="C30" s="3">
        <f>B30/28.349523</f>
        <v>1.0229449010482468</v>
      </c>
      <c r="D30" s="3">
        <f>C30/16</f>
        <v>0.06393405631551542</v>
      </c>
      <c r="E30" s="4" t="s">
        <v>1712</v>
      </c>
      <c r="H30" s="3"/>
    </row>
    <row r="31" spans="2:5" ht="12.75">
      <c r="B31">
        <v>33</v>
      </c>
      <c r="C31" s="3">
        <f>B31/28.349523</f>
        <v>1.1640407494686946</v>
      </c>
      <c r="D31" s="3">
        <f>C31/16</f>
        <v>0.07275254684179341</v>
      </c>
      <c r="E31" s="12" t="s">
        <v>1173</v>
      </c>
    </row>
    <row r="32" spans="2:5" ht="12.75">
      <c r="B32">
        <v>9</v>
      </c>
      <c r="C32" s="3">
        <f>B32/28.349523</f>
        <v>0.31746565894600765</v>
      </c>
      <c r="D32" s="3">
        <f>C32/16</f>
        <v>0.019841603684125478</v>
      </c>
      <c r="E32" s="12" t="s">
        <v>1034</v>
      </c>
    </row>
    <row r="34" spans="2:5" ht="12.75">
      <c r="B34">
        <f>(931-76)+3</f>
        <v>858</v>
      </c>
      <c r="C34" s="3">
        <f>B34/28.349523</f>
        <v>30.26505948618606</v>
      </c>
      <c r="D34" s="3">
        <f>C34/16</f>
        <v>1.8915662178866288</v>
      </c>
      <c r="E34" s="12" t="s">
        <v>57</v>
      </c>
    </row>
    <row r="35" spans="2:5" ht="12.75">
      <c r="B35" s="9">
        <v>35</v>
      </c>
      <c r="C35" s="3">
        <f>B35/28.349523</f>
        <v>1.2345886736789187</v>
      </c>
      <c r="D35" s="3">
        <f>C35/16</f>
        <v>0.07716179210493242</v>
      </c>
      <c r="E35" t="s">
        <v>1980</v>
      </c>
    </row>
    <row r="36" spans="2:5" ht="12.75">
      <c r="B36" s="9">
        <v>11</v>
      </c>
      <c r="C36" s="3"/>
      <c r="D36" s="3"/>
      <c r="E36" s="12" t="s">
        <v>957</v>
      </c>
    </row>
    <row r="37" spans="2:5" ht="12.75">
      <c r="B37">
        <v>19</v>
      </c>
      <c r="C37" s="3">
        <f>B37/28.349523</f>
        <v>0.6702052799971272</v>
      </c>
      <c r="D37" s="3">
        <f>C37/16</f>
        <v>0.04188782999982045</v>
      </c>
      <c r="E37" s="12" t="s">
        <v>1228</v>
      </c>
    </row>
    <row r="38" spans="2:5" ht="12.75">
      <c r="B38">
        <f>90+21+29</f>
        <v>140</v>
      </c>
      <c r="C38" s="3">
        <f>B38/28.349523</f>
        <v>4.938354694715675</v>
      </c>
      <c r="D38" s="3">
        <f>C38/16</f>
        <v>0.30864716841972967</v>
      </c>
      <c r="E38" s="12" t="s">
        <v>1707</v>
      </c>
    </row>
    <row r="39" spans="2:5" ht="12.75">
      <c r="B39">
        <v>6</v>
      </c>
      <c r="C39" s="3">
        <f>B39/28.349523</f>
        <v>0.21164377263067177</v>
      </c>
      <c r="D39" s="3">
        <f>C39/16</f>
        <v>0.013227735789416986</v>
      </c>
      <c r="E39" s="12" t="s">
        <v>1699</v>
      </c>
    </row>
    <row r="40" spans="2:5" ht="12.75">
      <c r="B40" s="6">
        <v>12</v>
      </c>
      <c r="C40" s="3">
        <f>B40/28.349523</f>
        <v>0.42328754526134355</v>
      </c>
      <c r="D40" s="3">
        <f>C40/16</f>
        <v>0.02645547157883397</v>
      </c>
      <c r="E40" s="12" t="s">
        <v>2</v>
      </c>
    </row>
    <row r="41" spans="2:5" ht="12.75">
      <c r="B41">
        <v>18</v>
      </c>
      <c r="C41" s="3">
        <f>B41/28.349523</f>
        <v>0.6349313178920153</v>
      </c>
      <c r="D41" s="3">
        <f>C41/16</f>
        <v>0.039683207368250956</v>
      </c>
      <c r="E41" s="12" t="s">
        <v>1599</v>
      </c>
    </row>
    <row r="45" spans="5:7" ht="12.75">
      <c r="E45" s="11"/>
      <c r="G45" t="s">
        <v>948</v>
      </c>
    </row>
    <row r="46" spans="1:7" ht="12.75">
      <c r="A46" s="9">
        <f>B46*G46</f>
        <v>268.57142857142856</v>
      </c>
      <c r="B46" s="9">
        <v>94</v>
      </c>
      <c r="E46" s="11" t="s">
        <v>1060</v>
      </c>
      <c r="G46" s="3">
        <f>80/28</f>
        <v>2.857142857142857</v>
      </c>
    </row>
    <row r="47" spans="1:7" ht="12.75">
      <c r="A47" s="9">
        <v>650</v>
      </c>
      <c r="B47" s="9">
        <v>178</v>
      </c>
      <c r="E47" s="11" t="s">
        <v>1061</v>
      </c>
      <c r="G47" s="3">
        <f>A47/B47</f>
        <v>3.651685393258427</v>
      </c>
    </row>
    <row r="48" spans="1:7" ht="12.75">
      <c r="A48" s="9">
        <v>900</v>
      </c>
      <c r="B48" s="9">
        <v>332</v>
      </c>
      <c r="E48" s="11" t="s">
        <v>949</v>
      </c>
      <c r="G48" s="3">
        <f>A48/B48</f>
        <v>2.710843373493976</v>
      </c>
    </row>
    <row r="49" spans="1:7" ht="12.75">
      <c r="A49" s="9">
        <v>1000</v>
      </c>
      <c r="B49" s="9">
        <v>287</v>
      </c>
      <c r="E49" s="11" t="s">
        <v>950</v>
      </c>
      <c r="G49" s="3">
        <f>A49/B49</f>
        <v>3.484320557491289</v>
      </c>
    </row>
    <row r="50" spans="1:14" ht="12.75">
      <c r="A50" s="9">
        <f aca="true" t="shared" si="2" ref="A50:A55">B50*G50</f>
        <v>690.3333333333334</v>
      </c>
      <c r="B50" s="9">
        <v>152</v>
      </c>
      <c r="E50" s="11" t="s">
        <v>951</v>
      </c>
      <c r="G50" s="3">
        <f>1308/288</f>
        <v>4.541666666666667</v>
      </c>
      <c r="N50">
        <f>2.5/3.5*65</f>
        <v>46.42857142857143</v>
      </c>
    </row>
    <row r="51" spans="1:14" ht="12.75">
      <c r="A51" s="9">
        <f t="shared" si="2"/>
        <v>1228.4</v>
      </c>
      <c r="B51" s="9">
        <v>166</v>
      </c>
      <c r="E51" s="11" t="s">
        <v>952</v>
      </c>
      <c r="G51" s="3">
        <f>222/30</f>
        <v>7.4</v>
      </c>
      <c r="N51">
        <f>13*37/24</f>
        <v>20.041666666666668</v>
      </c>
    </row>
    <row r="52" spans="1:7" ht="12.75">
      <c r="A52" s="9">
        <f t="shared" si="2"/>
        <v>1042.857142857143</v>
      </c>
      <c r="B52" s="9">
        <v>146</v>
      </c>
      <c r="E52" s="11" t="s">
        <v>953</v>
      </c>
      <c r="G52" s="3">
        <f>200/28</f>
        <v>7.142857142857143</v>
      </c>
    </row>
    <row r="53" spans="1:7" ht="12.75">
      <c r="A53" s="9">
        <f t="shared" si="2"/>
        <v>940.6666666666667</v>
      </c>
      <c r="B53" s="9">
        <v>166</v>
      </c>
      <c r="E53" s="11" t="s">
        <v>954</v>
      </c>
      <c r="G53" s="3">
        <f>170/30</f>
        <v>5.666666666666667</v>
      </c>
    </row>
    <row r="54" spans="1:7" ht="12.75">
      <c r="A54" s="9">
        <f t="shared" si="2"/>
        <v>576</v>
      </c>
      <c r="B54" s="9">
        <v>108</v>
      </c>
      <c r="E54" s="11" t="s">
        <v>955</v>
      </c>
      <c r="G54" s="3">
        <f>160/30</f>
        <v>5.333333333333333</v>
      </c>
    </row>
    <row r="55" spans="1:7" ht="12.75">
      <c r="A55" s="9">
        <f t="shared" si="2"/>
        <v>1332</v>
      </c>
      <c r="B55" s="9">
        <v>222</v>
      </c>
      <c r="E55" s="11" t="s">
        <v>956</v>
      </c>
      <c r="G55" s="3">
        <f>180/30</f>
        <v>6</v>
      </c>
    </row>
    <row r="56" spans="1:5" ht="12.75">
      <c r="A56" s="9">
        <f>A55+A54+A53+A52+A51+A50+A49+A48+A47+A46</f>
        <v>8628.828571428572</v>
      </c>
      <c r="B56" s="9">
        <f>B55+B54+B53+B52+B51+B50+B49+B48+B47+B46</f>
        <v>1851</v>
      </c>
      <c r="E56" s="11" t="s">
        <v>1598</v>
      </c>
    </row>
    <row r="57" spans="2:5" ht="12.75">
      <c r="B57" s="9">
        <v>30</v>
      </c>
      <c r="E57" s="11" t="s">
        <v>1010</v>
      </c>
    </row>
    <row r="58" spans="2:5" ht="12.75">
      <c r="B58" s="9">
        <v>11</v>
      </c>
      <c r="E58" s="11" t="s">
        <v>1062</v>
      </c>
    </row>
    <row r="59" spans="2:5" ht="12.75">
      <c r="B59" s="9">
        <v>66</v>
      </c>
      <c r="E59" s="11" t="s">
        <v>1012</v>
      </c>
    </row>
    <row r="60" spans="2:5" ht="12.75">
      <c r="B60" s="9">
        <v>33</v>
      </c>
      <c r="E60" s="11" t="s">
        <v>1013</v>
      </c>
    </row>
    <row r="61" spans="2:5" ht="12.75">
      <c r="B61" s="9">
        <v>11</v>
      </c>
      <c r="E61" s="11" t="s">
        <v>1064</v>
      </c>
    </row>
    <row r="62" spans="2:5" ht="12.75">
      <c r="B62">
        <v>32</v>
      </c>
      <c r="C62" s="3">
        <f>B62/28.349523</f>
        <v>1.1287667873635827</v>
      </c>
      <c r="D62" s="3">
        <f>C62/16</f>
        <v>0.07054792421022392</v>
      </c>
      <c r="E62" s="11" t="s">
        <v>1671</v>
      </c>
    </row>
    <row r="63" spans="2:5" ht="12.75">
      <c r="B63">
        <v>66</v>
      </c>
      <c r="C63" s="3">
        <f>B63/28.349523</f>
        <v>2.3280814989373892</v>
      </c>
      <c r="D63" s="3">
        <f>C63/16</f>
        <v>0.14550509368358683</v>
      </c>
      <c r="E63" s="11" t="s">
        <v>944</v>
      </c>
    </row>
    <row r="64" spans="2:5" ht="12.75">
      <c r="B64">
        <v>8</v>
      </c>
      <c r="C64" s="3">
        <f>B64/28.349523</f>
        <v>0.2821916968408957</v>
      </c>
      <c r="D64" s="3">
        <f>C64/16</f>
        <v>0.01763698105255598</v>
      </c>
      <c r="E64" s="11" t="s">
        <v>1065</v>
      </c>
    </row>
    <row r="65" spans="2:5" ht="12.75">
      <c r="B65">
        <v>11</v>
      </c>
      <c r="E65" s="11" t="s">
        <v>1689</v>
      </c>
    </row>
    <row r="67" spans="2:5" ht="12.75">
      <c r="B67">
        <v>22</v>
      </c>
      <c r="C67" s="3">
        <f aca="true" t="shared" si="3" ref="C67:C78">B67/28.349523</f>
        <v>0.7760271663124632</v>
      </c>
      <c r="D67" s="3">
        <f aca="true" t="shared" si="4" ref="D67:D78">C67/16</f>
        <v>0.04850169789452895</v>
      </c>
      <c r="E67" s="11" t="s">
        <v>1029</v>
      </c>
    </row>
    <row r="68" spans="2:5" ht="12.75">
      <c r="B68">
        <v>3</v>
      </c>
      <c r="C68" s="3">
        <f t="shared" si="3"/>
        <v>0.10582188631533589</v>
      </c>
      <c r="D68" s="3">
        <f t="shared" si="4"/>
        <v>0.006613867894708493</v>
      </c>
      <c r="E68" s="11" t="s">
        <v>1221</v>
      </c>
    </row>
    <row r="69" spans="2:5" ht="12.75">
      <c r="B69">
        <v>8</v>
      </c>
      <c r="C69" s="3">
        <f t="shared" si="3"/>
        <v>0.2821916968408957</v>
      </c>
      <c r="D69" s="3">
        <f t="shared" si="4"/>
        <v>0.01763698105255598</v>
      </c>
      <c r="E69" s="11" t="s">
        <v>1067</v>
      </c>
    </row>
    <row r="70" spans="2:5" ht="12.75">
      <c r="B70" s="6">
        <v>51</v>
      </c>
      <c r="C70" s="3">
        <f t="shared" si="3"/>
        <v>1.79897206736071</v>
      </c>
      <c r="D70" s="3">
        <f t="shared" si="4"/>
        <v>0.11243575421004437</v>
      </c>
      <c r="E70" s="13" t="s">
        <v>4</v>
      </c>
    </row>
    <row r="71" spans="2:5" ht="12.75">
      <c r="B71" s="6">
        <v>3</v>
      </c>
      <c r="C71" s="3">
        <f t="shared" si="3"/>
        <v>0.10582188631533589</v>
      </c>
      <c r="D71" s="3">
        <f t="shared" si="4"/>
        <v>0.006613867894708493</v>
      </c>
      <c r="E71" s="13" t="s">
        <v>1708</v>
      </c>
    </row>
    <row r="72" spans="2:5" ht="12.75">
      <c r="B72" s="6">
        <v>32</v>
      </c>
      <c r="C72" s="3">
        <f t="shared" si="3"/>
        <v>1.1287667873635827</v>
      </c>
      <c r="D72" s="3">
        <f t="shared" si="4"/>
        <v>0.07054792421022392</v>
      </c>
      <c r="E72" s="13" t="s">
        <v>1709</v>
      </c>
    </row>
    <row r="73" spans="2:5" ht="12.75">
      <c r="B73" s="6">
        <v>53</v>
      </c>
      <c r="C73" s="3">
        <f t="shared" si="3"/>
        <v>1.869519991570934</v>
      </c>
      <c r="D73" s="3">
        <f t="shared" si="4"/>
        <v>0.11684499947318337</v>
      </c>
      <c r="E73" s="11" t="s">
        <v>1068</v>
      </c>
    </row>
    <row r="75" spans="2:5" ht="12.75">
      <c r="B75">
        <v>6</v>
      </c>
      <c r="C75" s="3">
        <f t="shared" si="3"/>
        <v>0.21164377263067177</v>
      </c>
      <c r="D75" s="3">
        <f t="shared" si="4"/>
        <v>0.013227735789416986</v>
      </c>
      <c r="E75" s="11" t="s">
        <v>1223</v>
      </c>
    </row>
    <row r="76" spans="2:5" ht="12.75">
      <c r="B76">
        <v>41</v>
      </c>
      <c r="C76" s="3">
        <f t="shared" si="3"/>
        <v>1.4462324463095904</v>
      </c>
      <c r="D76" s="3">
        <f t="shared" si="4"/>
        <v>0.0903895278943494</v>
      </c>
      <c r="E76" s="11" t="s">
        <v>1009</v>
      </c>
    </row>
    <row r="77" spans="2:5" ht="12.75">
      <c r="B77" s="9">
        <v>18</v>
      </c>
      <c r="C77" s="3">
        <f>B77/28.349523</f>
        <v>0.6349313178920153</v>
      </c>
      <c r="D77" s="3">
        <f>C77/16</f>
        <v>0.039683207368250956</v>
      </c>
      <c r="E77" s="12" t="s">
        <v>2073</v>
      </c>
    </row>
    <row r="78" spans="2:5" ht="12.75">
      <c r="B78" s="2">
        <f>B3+B4+B5+B6+B7+B8+B9+B10+B12+B81+B14+B15+B16+B17+B18+B88+B20+B83+B23+B25+B89+B27+B28+B31+B32+B34+B35+B36+B37+B38+B39+B40+B41+B91+B56+B57+B58+B62+B63+B64+B65+B67+B68+B69+B70+B71+B72+B73+B75+B76</f>
        <v>7469</v>
      </c>
      <c r="C78" s="3">
        <f t="shared" si="3"/>
        <v>263.46122296308124</v>
      </c>
      <c r="D78" s="3">
        <f t="shared" si="4"/>
        <v>16.466326435192578</v>
      </c>
      <c r="E78" s="11" t="s">
        <v>1598</v>
      </c>
    </row>
    <row r="80" spans="2:5" ht="12.75">
      <c r="B80" s="9"/>
      <c r="C80" s="3"/>
      <c r="D80" s="3"/>
      <c r="E80" s="12" t="s">
        <v>1025</v>
      </c>
    </row>
    <row r="81" spans="2:5" ht="12.75">
      <c r="B81" s="9">
        <v>50</v>
      </c>
      <c r="C81" s="3">
        <f aca="true" t="shared" si="5" ref="C81:C92">B81/28.349523</f>
        <v>1.763698105255598</v>
      </c>
      <c r="D81" s="3">
        <f aca="true" t="shared" si="6" ref="D81:D92">C81/16</f>
        <v>0.11023113157847488</v>
      </c>
      <c r="E81" s="12" t="s">
        <v>1071</v>
      </c>
    </row>
    <row r="82" spans="2:5" ht="12.75">
      <c r="B82">
        <v>55</v>
      </c>
      <c r="C82" s="3">
        <f t="shared" si="5"/>
        <v>1.9400679157811578</v>
      </c>
      <c r="D82" s="3">
        <f t="shared" si="6"/>
        <v>0.12125424473632236</v>
      </c>
      <c r="E82" s="12" t="s">
        <v>1023</v>
      </c>
    </row>
    <row r="83" spans="2:5" ht="12.75">
      <c r="B83" s="9">
        <v>324</v>
      </c>
      <c r="C83" s="3">
        <f t="shared" si="5"/>
        <v>11.428763722056276</v>
      </c>
      <c r="D83" s="3">
        <f t="shared" si="6"/>
        <v>0.7142977326285173</v>
      </c>
      <c r="E83" s="12" t="s">
        <v>1170</v>
      </c>
    </row>
    <row r="84" spans="2:5" ht="12.75">
      <c r="B84">
        <v>726</v>
      </c>
      <c r="C84" s="3">
        <f t="shared" si="5"/>
        <v>25.608896488311284</v>
      </c>
      <c r="D84" s="3">
        <f t="shared" si="6"/>
        <v>1.6005560305194553</v>
      </c>
      <c r="E84" s="12" t="s">
        <v>71</v>
      </c>
    </row>
    <row r="85" spans="2:5" ht="12.75">
      <c r="B85">
        <v>718</v>
      </c>
      <c r="C85" s="3">
        <f t="shared" si="5"/>
        <v>25.326704791470387</v>
      </c>
      <c r="D85" s="3">
        <f t="shared" si="6"/>
        <v>1.5829190494668992</v>
      </c>
      <c r="E85" s="12" t="s">
        <v>72</v>
      </c>
    </row>
    <row r="86" spans="2:5" ht="12.75">
      <c r="B86" s="9">
        <v>24</v>
      </c>
      <c r="C86" s="3">
        <f t="shared" si="5"/>
        <v>0.8465750905226871</v>
      </c>
      <c r="D86" s="3">
        <f t="shared" si="6"/>
        <v>0.05291094315766794</v>
      </c>
      <c r="E86" s="12" t="s">
        <v>73</v>
      </c>
    </row>
    <row r="87" spans="2:9" ht="12.75">
      <c r="B87" s="9">
        <f>B84+B85+B86</f>
        <v>1468</v>
      </c>
      <c r="C87" s="3">
        <f t="shared" si="5"/>
        <v>51.782176370304356</v>
      </c>
      <c r="D87" s="3">
        <f t="shared" si="6"/>
        <v>3.2363860231440222</v>
      </c>
      <c r="E87" t="s">
        <v>2067</v>
      </c>
      <c r="G87" s="9"/>
      <c r="H87" s="3"/>
      <c r="I87" s="3"/>
    </row>
    <row r="88" spans="2:5" ht="12.75">
      <c r="B88">
        <v>264</v>
      </c>
      <c r="C88" s="3">
        <f t="shared" si="5"/>
        <v>9.312325995749557</v>
      </c>
      <c r="D88" s="3">
        <f t="shared" si="6"/>
        <v>0.5820203747343473</v>
      </c>
      <c r="E88" s="12" t="s">
        <v>1895</v>
      </c>
    </row>
    <row r="89" spans="2:5" ht="12.75">
      <c r="B89">
        <v>40</v>
      </c>
      <c r="C89" s="3">
        <f t="shared" si="5"/>
        <v>1.4109584842044784</v>
      </c>
      <c r="D89" s="3">
        <f t="shared" si="6"/>
        <v>0.0881849052627799</v>
      </c>
      <c r="E89" s="12" t="s">
        <v>1172</v>
      </c>
    </row>
    <row r="90" spans="2:5" ht="12.75">
      <c r="B90">
        <v>38</v>
      </c>
      <c r="C90" s="3">
        <f t="shared" si="5"/>
        <v>1.3404105599942544</v>
      </c>
      <c r="D90" s="3">
        <f t="shared" si="6"/>
        <v>0.0837756599996409</v>
      </c>
      <c r="E90" s="12" t="s">
        <v>1026</v>
      </c>
    </row>
    <row r="91" spans="2:5" ht="12.75">
      <c r="B91">
        <v>33</v>
      </c>
      <c r="C91" s="3">
        <f t="shared" si="5"/>
        <v>1.1640407494686946</v>
      </c>
      <c r="D91" s="3">
        <f t="shared" si="6"/>
        <v>0.07275254684179341</v>
      </c>
      <c r="E91" s="12" t="s">
        <v>1224</v>
      </c>
    </row>
    <row r="92" spans="2:5" ht="12.75">
      <c r="B92" s="6">
        <v>53</v>
      </c>
      <c r="C92" s="3">
        <f t="shared" si="5"/>
        <v>1.869519991570934</v>
      </c>
      <c r="D92" s="3">
        <f t="shared" si="6"/>
        <v>0.11684499947318337</v>
      </c>
      <c r="E92" s="11" t="s">
        <v>1069</v>
      </c>
    </row>
    <row r="93" spans="2:5" ht="12.75">
      <c r="B93" s="6"/>
      <c r="C93" s="3"/>
      <c r="D93" s="3"/>
      <c r="E93" s="11"/>
    </row>
    <row r="94" spans="2:5" ht="12.75">
      <c r="B94" s="6"/>
      <c r="C94" s="3"/>
      <c r="D94" s="3"/>
      <c r="E94" s="11"/>
    </row>
    <row r="95" spans="2:5" ht="12.75">
      <c r="B95" s="6"/>
      <c r="C95" s="3"/>
      <c r="D95" s="3"/>
      <c r="E95" s="11"/>
    </row>
    <row r="96" spans="3:5" ht="12.75">
      <c r="C96" s="3"/>
      <c r="D96" s="3"/>
      <c r="E96" s="15" t="s">
        <v>1021</v>
      </c>
    </row>
    <row r="97" spans="2:5" ht="12.75">
      <c r="B97" s="9">
        <v>408</v>
      </c>
      <c r="C97" s="3">
        <f>B97/28.349523</f>
        <v>14.39177653888568</v>
      </c>
      <c r="D97" s="3">
        <f>C97/16</f>
        <v>0.899486033680355</v>
      </c>
      <c r="E97" s="11" t="s">
        <v>1011</v>
      </c>
    </row>
    <row r="98" spans="2:5" ht="12.75">
      <c r="B98" s="9">
        <v>583</v>
      </c>
      <c r="C98" s="3">
        <f>B98/28.349523</f>
        <v>20.564719907280274</v>
      </c>
      <c r="D98" s="3">
        <f>C98/16</f>
        <v>1.2852949942050171</v>
      </c>
      <c r="E98" s="12" t="s">
        <v>1688</v>
      </c>
    </row>
    <row r="99" spans="2:5" ht="12.75">
      <c r="B99">
        <v>246</v>
      </c>
      <c r="C99" s="3">
        <f>B99/28.349523</f>
        <v>8.677394677857542</v>
      </c>
      <c r="D99" s="3">
        <f>C99/16</f>
        <v>0.5423371673660964</v>
      </c>
      <c r="E99" s="4" t="s">
        <v>1985</v>
      </c>
    </row>
    <row r="102" spans="2:5" ht="12.75">
      <c r="B102" s="6">
        <v>76</v>
      </c>
      <c r="C102" s="3">
        <f>B102/28.349523</f>
        <v>2.680821119988509</v>
      </c>
      <c r="D102" s="3">
        <f>C102/16</f>
        <v>0.1675513199992818</v>
      </c>
      <c r="E102" s="13" t="s">
        <v>708</v>
      </c>
    </row>
    <row r="103" spans="2:5" ht="12.75">
      <c r="B103" s="9">
        <v>57</v>
      </c>
      <c r="C103" s="3">
        <f>B103/28.349523</f>
        <v>2.010615839991382</v>
      </c>
      <c r="D103" s="3">
        <f>C103/16</f>
        <v>0.12566348999946136</v>
      </c>
      <c r="E103" s="12" t="s">
        <v>1955</v>
      </c>
    </row>
    <row r="104" spans="3:4" ht="12.75">
      <c r="C104" s="3"/>
      <c r="D104" s="3"/>
    </row>
    <row r="105" spans="3:4" ht="12.75">
      <c r="C105" s="3"/>
      <c r="D105" s="3"/>
    </row>
    <row r="106" spans="2:5" ht="12.75">
      <c r="B106" s="9">
        <v>753</v>
      </c>
      <c r="C106" s="3">
        <f>B106/28.349523</f>
        <v>26.561293465149305</v>
      </c>
      <c r="D106" s="3">
        <f>C106/16</f>
        <v>1.6600808415718316</v>
      </c>
      <c r="E106" s="12" t="s">
        <v>3</v>
      </c>
    </row>
    <row r="107" ht="12.75">
      <c r="E107" s="12" t="s">
        <v>1893</v>
      </c>
    </row>
    <row r="108" spans="2:5" ht="12.75">
      <c r="B108">
        <v>630</v>
      </c>
      <c r="C108" s="3">
        <f aca="true" t="shared" si="7" ref="C108:C115">B108/28.349523</f>
        <v>22.222596126220534</v>
      </c>
      <c r="D108" s="3">
        <f aca="true" t="shared" si="8" ref="D108:D115">C108/16</f>
        <v>1.3889122578887834</v>
      </c>
      <c r="E108" s="12" t="s">
        <v>1710</v>
      </c>
    </row>
    <row r="109" spans="2:5" ht="12.75">
      <c r="B109" s="9">
        <v>207</v>
      </c>
      <c r="C109" s="3">
        <f t="shared" si="7"/>
        <v>7.301710155758176</v>
      </c>
      <c r="D109" s="3">
        <f t="shared" si="8"/>
        <v>0.456356884734886</v>
      </c>
      <c r="E109" s="12" t="s">
        <v>1894</v>
      </c>
    </row>
    <row r="110" spans="2:5" ht="12.75">
      <c r="B110" s="9">
        <v>125</v>
      </c>
      <c r="C110" s="3">
        <f t="shared" si="7"/>
        <v>4.409245263138995</v>
      </c>
      <c r="D110" s="3">
        <f t="shared" si="8"/>
        <v>0.2755778289461872</v>
      </c>
      <c r="E110" s="12" t="s">
        <v>1171</v>
      </c>
    </row>
    <row r="112" spans="2:5" ht="12.75">
      <c r="B112">
        <v>15</v>
      </c>
      <c r="C112" s="3">
        <f t="shared" si="7"/>
        <v>0.5291094315766794</v>
      </c>
      <c r="D112" s="3">
        <f t="shared" si="8"/>
        <v>0.033069339473542465</v>
      </c>
      <c r="E112" s="11" t="s">
        <v>1063</v>
      </c>
    </row>
    <row r="113" spans="2:5" ht="12.75">
      <c r="B113">
        <v>22</v>
      </c>
      <c r="C113" s="3">
        <f t="shared" si="7"/>
        <v>0.7760271663124632</v>
      </c>
      <c r="D113" s="3">
        <f t="shared" si="8"/>
        <v>0.04850169789452895</v>
      </c>
      <c r="E113" s="12" t="s">
        <v>1706</v>
      </c>
    </row>
    <row r="114" spans="2:5" ht="12.75">
      <c r="B114">
        <v>7</v>
      </c>
      <c r="C114" s="3">
        <f t="shared" si="7"/>
        <v>0.24691773473578374</v>
      </c>
      <c r="D114" s="3">
        <f t="shared" si="8"/>
        <v>0.015432358420986484</v>
      </c>
      <c r="E114" s="11" t="s">
        <v>70</v>
      </c>
    </row>
    <row r="115" spans="2:5" ht="12.75">
      <c r="B115">
        <v>13</v>
      </c>
      <c r="C115" s="3">
        <f t="shared" si="7"/>
        <v>0.4585615073664555</v>
      </c>
      <c r="D115" s="3">
        <f t="shared" si="8"/>
        <v>0.02866009421040347</v>
      </c>
      <c r="E115" s="11" t="s">
        <v>1685</v>
      </c>
    </row>
    <row r="116" ht="12.75">
      <c r="E116" s="11" t="s">
        <v>1066</v>
      </c>
    </row>
    <row r="117" spans="3:4" ht="12.75">
      <c r="C117" s="3"/>
      <c r="D117" s="3"/>
    </row>
    <row r="118" ht="12.75">
      <c r="E118" s="12" t="s">
        <v>1686</v>
      </c>
    </row>
    <row r="119" ht="12.75">
      <c r="E119" s="12" t="s">
        <v>1694</v>
      </c>
    </row>
    <row r="120" ht="12.75">
      <c r="E120" s="12" t="s">
        <v>1695</v>
      </c>
    </row>
    <row r="121" ht="12.75">
      <c r="E121" s="12" t="s">
        <v>1696</v>
      </c>
    </row>
    <row r="122" ht="12.75">
      <c r="E122" s="12" t="s">
        <v>1697</v>
      </c>
    </row>
    <row r="123" ht="12.75">
      <c r="E123" s="12" t="s">
        <v>959</v>
      </c>
    </row>
    <row r="124" ht="12.75">
      <c r="E124" s="12" t="s">
        <v>1996</v>
      </c>
    </row>
    <row r="125" ht="12.75">
      <c r="E125" s="12" t="s">
        <v>1997</v>
      </c>
    </row>
    <row r="126" ht="12.75">
      <c r="E126" s="12" t="s">
        <v>1998</v>
      </c>
    </row>
    <row r="127" ht="12.75">
      <c r="E127" s="12" t="s">
        <v>1999</v>
      </c>
    </row>
    <row r="128" ht="12.75">
      <c r="E128" s="12" t="s">
        <v>2000</v>
      </c>
    </row>
    <row r="129" ht="12.75">
      <c r="E129" s="12" t="s">
        <v>2001</v>
      </c>
    </row>
    <row r="130" ht="12.75">
      <c r="E130" s="12" t="s">
        <v>1683</v>
      </c>
    </row>
    <row r="131" ht="12.75">
      <c r="E131" s="12" t="s">
        <v>1684</v>
      </c>
    </row>
    <row r="132" ht="12.75">
      <c r="E132" s="12" t="s">
        <v>1690</v>
      </c>
    </row>
    <row r="133" ht="12.75">
      <c r="E133" s="12" t="s">
        <v>1691</v>
      </c>
    </row>
    <row r="134" ht="12.75">
      <c r="E134" s="12" t="s">
        <v>1692</v>
      </c>
    </row>
    <row r="135" ht="12.75">
      <c r="E135" s="12" t="s">
        <v>1693</v>
      </c>
    </row>
    <row r="136" ht="12.75">
      <c r="E136" s="12" t="s">
        <v>1698</v>
      </c>
    </row>
    <row r="137" ht="12.75">
      <c r="E137" s="12" t="s">
        <v>1702</v>
      </c>
    </row>
    <row r="138" ht="12.75">
      <c r="E138" s="12" t="s">
        <v>958</v>
      </c>
    </row>
    <row r="140" spans="3:4" ht="12.75">
      <c r="C140" s="3"/>
      <c r="D140" s="3"/>
    </row>
    <row r="141" spans="1:7" ht="12.75">
      <c r="A141" s="9"/>
      <c r="B141" s="9"/>
      <c r="E141" s="11"/>
      <c r="G141" s="3"/>
    </row>
    <row r="142" spans="1:7" ht="12.75">
      <c r="A142" s="9"/>
      <c r="B142" s="9"/>
      <c r="E142" s="11"/>
      <c r="G142" s="3"/>
    </row>
    <row r="143" spans="1:7" ht="12.75">
      <c r="A143" s="9"/>
      <c r="B143" s="9"/>
      <c r="E143" s="11"/>
      <c r="G143" s="3"/>
    </row>
    <row r="146" ht="17.25" customHeight="1">
      <c r="E146" s="14" t="s">
        <v>1020</v>
      </c>
    </row>
    <row r="147" spans="2:5" ht="12.75">
      <c r="B147">
        <v>3</v>
      </c>
      <c r="C147" s="3">
        <f>B147/28.349523</f>
        <v>0.10582188631533589</v>
      </c>
      <c r="D147" s="3">
        <f>C147/16</f>
        <v>0.006613867894708493</v>
      </c>
      <c r="E147" s="11" t="s">
        <v>1221</v>
      </c>
    </row>
    <row r="148" ht="12.75" customHeight="1">
      <c r="E148" s="11" t="s">
        <v>1030</v>
      </c>
    </row>
    <row r="149" ht="12.75" customHeight="1">
      <c r="E149" s="11" t="s">
        <v>1031</v>
      </c>
    </row>
    <row r="150" spans="2:15" ht="12.75">
      <c r="B150">
        <v>782</v>
      </c>
      <c r="C150" s="3">
        <f>B150/28.349523</f>
        <v>27.584238366197553</v>
      </c>
      <c r="D150" s="3">
        <f>C150/16</f>
        <v>1.724014897887347</v>
      </c>
      <c r="E150" s="12" t="s">
        <v>1014</v>
      </c>
      <c r="F150">
        <f>B150/1881</f>
        <v>0.41573631047315257</v>
      </c>
      <c r="G150" t="s">
        <v>1036</v>
      </c>
      <c r="J150" t="s">
        <v>1037</v>
      </c>
      <c r="N150" s="9">
        <f>5400/1.75</f>
        <v>3085.714285714286</v>
      </c>
      <c r="O150" t="s">
        <v>313</v>
      </c>
    </row>
    <row r="151" spans="2:5" ht="12.75">
      <c r="B151">
        <f>90+21+29</f>
        <v>140</v>
      </c>
      <c r="C151" s="3">
        <f aca="true" t="shared" si="9" ref="C151:C158">B151/28.349523</f>
        <v>4.938354694715675</v>
      </c>
      <c r="D151" s="3">
        <f aca="true" t="shared" si="10" ref="D151:D158">C151/16</f>
        <v>0.30864716841972967</v>
      </c>
      <c r="E151" s="12" t="s">
        <v>1707</v>
      </c>
    </row>
    <row r="152" spans="2:5" ht="12.75">
      <c r="B152">
        <v>29</v>
      </c>
      <c r="C152" s="3">
        <f t="shared" si="9"/>
        <v>1.0229449010482468</v>
      </c>
      <c r="D152" s="3">
        <f t="shared" si="10"/>
        <v>0.06393405631551542</v>
      </c>
      <c r="E152" s="4" t="s">
        <v>1712</v>
      </c>
    </row>
    <row r="153" spans="2:5" ht="12.75">
      <c r="B153">
        <v>11</v>
      </c>
      <c r="C153" s="3">
        <f t="shared" si="9"/>
        <v>0.3880135831562316</v>
      </c>
      <c r="D153" s="3">
        <f t="shared" si="10"/>
        <v>0.024250848947264474</v>
      </c>
      <c r="E153" s="12" t="s">
        <v>1032</v>
      </c>
    </row>
    <row r="154" spans="2:5" ht="12.75">
      <c r="B154">
        <v>286</v>
      </c>
      <c r="C154" s="3">
        <f t="shared" si="9"/>
        <v>10.08835316206202</v>
      </c>
      <c r="D154" s="3">
        <f t="shared" si="10"/>
        <v>0.6305220726288763</v>
      </c>
      <c r="E154" s="12" t="s">
        <v>1015</v>
      </c>
    </row>
    <row r="155" spans="2:5" ht="12.75">
      <c r="B155">
        <v>10</v>
      </c>
      <c r="C155" s="3">
        <f t="shared" si="9"/>
        <v>0.3527396210511196</v>
      </c>
      <c r="D155" s="3">
        <f t="shared" si="10"/>
        <v>0.022046226315694976</v>
      </c>
      <c r="E155" s="12" t="s">
        <v>1016</v>
      </c>
    </row>
    <row r="156" spans="2:5" ht="12.75">
      <c r="B156">
        <v>17</v>
      </c>
      <c r="C156" s="3">
        <f t="shared" si="9"/>
        <v>0.5996573557869034</v>
      </c>
      <c r="D156" s="3">
        <f t="shared" si="10"/>
        <v>0.03747858473668146</v>
      </c>
      <c r="E156" s="12" t="s">
        <v>1017</v>
      </c>
    </row>
    <row r="157" spans="2:5" ht="12.75">
      <c r="B157">
        <v>8</v>
      </c>
      <c r="C157" s="3">
        <f t="shared" si="9"/>
        <v>0.2821916968408957</v>
      </c>
      <c r="D157" s="3">
        <f t="shared" si="10"/>
        <v>0.01763698105255598</v>
      </c>
      <c r="E157" s="12" t="s">
        <v>1018</v>
      </c>
    </row>
    <row r="158" spans="2:5" ht="12.75">
      <c r="B158">
        <v>6</v>
      </c>
      <c r="C158" s="3">
        <f t="shared" si="9"/>
        <v>0.21164377263067177</v>
      </c>
      <c r="D158" s="3">
        <f t="shared" si="10"/>
        <v>0.013227735789416986</v>
      </c>
      <c r="E158" s="12" t="s">
        <v>1699</v>
      </c>
    </row>
    <row r="159" spans="2:5" ht="12.75">
      <c r="B159">
        <v>41</v>
      </c>
      <c r="C159" s="3">
        <f>B159/28.349523</f>
        <v>1.4462324463095904</v>
      </c>
      <c r="D159" s="3">
        <f>C159/16</f>
        <v>0.0903895278943494</v>
      </c>
      <c r="E159" s="11" t="s">
        <v>1009</v>
      </c>
    </row>
    <row r="161" spans="2:5" ht="12.75">
      <c r="B161">
        <v>33</v>
      </c>
      <c r="C161" s="3">
        <v>1.1640407494686946</v>
      </c>
      <c r="D161" s="3">
        <v>0.07275254684179341</v>
      </c>
      <c r="E161" s="12" t="s">
        <v>1173</v>
      </c>
    </row>
    <row r="162" spans="2:5" ht="12.75">
      <c r="B162" s="6">
        <v>12</v>
      </c>
      <c r="C162" s="3">
        <v>0.42328754526134355</v>
      </c>
      <c r="D162" s="3">
        <v>0.02645547157883397</v>
      </c>
      <c r="E162" s="12" t="s">
        <v>2</v>
      </c>
    </row>
    <row r="163" spans="2:5" ht="12.75">
      <c r="B163">
        <v>18</v>
      </c>
      <c r="C163" s="3">
        <v>0.6349313178920153</v>
      </c>
      <c r="D163" s="3">
        <v>0.039683207368250956</v>
      </c>
      <c r="E163" s="12" t="s">
        <v>1599</v>
      </c>
    </row>
    <row r="164" spans="2:5" ht="12.75">
      <c r="B164" s="9">
        <v>11</v>
      </c>
      <c r="E164" s="11" t="s">
        <v>1064</v>
      </c>
    </row>
    <row r="165" spans="2:5" ht="12.75">
      <c r="B165">
        <v>32</v>
      </c>
      <c r="C165" s="3">
        <v>1.1287667873635827</v>
      </c>
      <c r="D165" s="3">
        <v>0.07054792421022392</v>
      </c>
      <c r="E165" s="11" t="s">
        <v>1671</v>
      </c>
    </row>
    <row r="166" spans="2:5" ht="12.75">
      <c r="B166">
        <v>8</v>
      </c>
      <c r="C166" s="3">
        <v>0.2821916968408957</v>
      </c>
      <c r="D166" s="3">
        <v>0.01763698105255598</v>
      </c>
      <c r="E166" s="11" t="s">
        <v>1065</v>
      </c>
    </row>
    <row r="167" spans="2:5" ht="12.75">
      <c r="B167" s="6">
        <v>3</v>
      </c>
      <c r="C167" s="3">
        <v>0.10582188631533589</v>
      </c>
      <c r="D167" s="3">
        <v>0.006613867894708493</v>
      </c>
      <c r="E167" s="13" t="s">
        <v>1708</v>
      </c>
    </row>
    <row r="168" spans="2:5" ht="12.75">
      <c r="B168">
        <f>SUM(B147:B167)</f>
        <v>1450</v>
      </c>
      <c r="C168" s="3">
        <f>B168/28.349523</f>
        <v>51.147245052412345</v>
      </c>
      <c r="D168" s="3">
        <f>C168/16</f>
        <v>3.1967028157757715</v>
      </c>
      <c r="E168" s="12" t="s">
        <v>1019</v>
      </c>
    </row>
  </sheetData>
  <printOptions/>
  <pageMargins left="0.75" right="0.75" top="1" bottom="1" header="0.5" footer="0.5"/>
  <pageSetup horizontalDpi="300" verticalDpi="300" orientation="portrait" r:id="rId1"/>
</worksheet>
</file>

<file path=xl/worksheets/sheet34.xml><?xml version="1.0" encoding="utf-8"?>
<worksheet xmlns="http://schemas.openxmlformats.org/spreadsheetml/2006/main" xmlns:r="http://schemas.openxmlformats.org/officeDocument/2006/relationships">
  <dimension ref="A1:O164"/>
  <sheetViews>
    <sheetView workbookViewId="0" topLeftCell="A1">
      <pane ySplit="1" topLeftCell="BM2" activePane="bottomLeft" state="frozen"/>
      <selection pane="topLeft" activeCell="A1" sqref="A1"/>
      <selection pane="bottomLeft" activeCell="E13" sqref="E13"/>
    </sheetView>
  </sheetViews>
  <sheetFormatPr defaultColWidth="9.140625" defaultRowHeight="12.75"/>
  <cols>
    <col min="1" max="1" width="6.28125" style="0" customWidth="1"/>
    <col min="2" max="2" width="6.140625" style="0" customWidth="1"/>
    <col min="3" max="3" width="5.57421875" style="0" customWidth="1"/>
    <col min="4" max="4" width="5.7109375" style="0" customWidth="1"/>
    <col min="5" max="5" width="21.28125" style="12" customWidth="1"/>
    <col min="6" max="6" width="5.28125" style="0" customWidth="1"/>
    <col min="7" max="9" width="4.28125" style="0" customWidth="1"/>
    <col min="10" max="12" width="4.7109375" style="0" customWidth="1"/>
    <col min="13" max="13" width="4.00390625" style="0" customWidth="1"/>
    <col min="14" max="14" width="5.7109375" style="0" customWidth="1"/>
    <col min="15" max="15" width="4.28125" style="0" customWidth="1"/>
  </cols>
  <sheetData>
    <row r="1" spans="1:6" ht="12.75">
      <c r="A1" t="s">
        <v>697</v>
      </c>
      <c r="B1" t="s">
        <v>1603</v>
      </c>
      <c r="C1" t="s">
        <v>2074</v>
      </c>
      <c r="D1" t="s">
        <v>1242</v>
      </c>
      <c r="E1" s="12" t="s">
        <v>2075</v>
      </c>
      <c r="F1" s="12" t="s">
        <v>1336</v>
      </c>
    </row>
    <row r="2" spans="2:3" ht="12.75">
      <c r="B2" s="9"/>
      <c r="C2" s="2"/>
    </row>
    <row r="3" spans="2:12" ht="12.75">
      <c r="B3" s="9">
        <v>44</v>
      </c>
      <c r="C3" s="2">
        <f aca="true" t="shared" si="0" ref="C3:C9">B3/28.349523</f>
        <v>1.5520543326249263</v>
      </c>
      <c r="D3" s="2">
        <f aca="true" t="shared" si="1" ref="D3:D9">C3/16</f>
        <v>0.0970033957890579</v>
      </c>
      <c r="E3" s="12" t="s">
        <v>159</v>
      </c>
      <c r="K3">
        <f>44/37</f>
        <v>1.1891891891891893</v>
      </c>
      <c r="L3">
        <f>K3*65</f>
        <v>77.2972972972973</v>
      </c>
    </row>
    <row r="4" spans="2:5" ht="12.75">
      <c r="B4" s="9"/>
      <c r="C4" s="2">
        <f t="shared" si="0"/>
        <v>0</v>
      </c>
      <c r="D4" s="2">
        <f t="shared" si="1"/>
        <v>0</v>
      </c>
      <c r="E4" s="12" t="s">
        <v>160</v>
      </c>
    </row>
    <row r="5" spans="2:5" ht="12.75">
      <c r="B5" s="9">
        <v>19</v>
      </c>
      <c r="C5" s="2">
        <f t="shared" si="0"/>
        <v>0.6702052799971272</v>
      </c>
      <c r="D5" s="2">
        <f t="shared" si="1"/>
        <v>0.04188782999982045</v>
      </c>
      <c r="E5" s="12" t="s">
        <v>1609</v>
      </c>
    </row>
    <row r="6" spans="2:5" ht="12.75">
      <c r="B6" s="9">
        <v>40</v>
      </c>
      <c r="C6" s="2">
        <f t="shared" si="0"/>
        <v>1.4109584842044784</v>
      </c>
      <c r="D6" s="2">
        <f t="shared" si="1"/>
        <v>0.0881849052627799</v>
      </c>
      <c r="E6" s="12" t="s">
        <v>1337</v>
      </c>
    </row>
    <row r="7" spans="2:5" ht="12.75">
      <c r="B7" s="9">
        <v>2</v>
      </c>
      <c r="C7" s="2">
        <f t="shared" si="0"/>
        <v>0.07054792421022392</v>
      </c>
      <c r="D7" s="2">
        <f t="shared" si="1"/>
        <v>0.004409245263138995</v>
      </c>
      <c r="E7" s="12" t="s">
        <v>340</v>
      </c>
    </row>
    <row r="8" spans="2:5" ht="12.75">
      <c r="B8" s="9">
        <v>19</v>
      </c>
      <c r="C8" s="2">
        <f t="shared" si="0"/>
        <v>0.6702052799971272</v>
      </c>
      <c r="D8" s="2">
        <f t="shared" si="1"/>
        <v>0.04188782999982045</v>
      </c>
      <c r="E8" s="12" t="s">
        <v>1471</v>
      </c>
    </row>
    <row r="9" spans="2:5" ht="12.75">
      <c r="B9">
        <v>163</v>
      </c>
      <c r="C9" s="3">
        <f t="shared" si="0"/>
        <v>5.749655823133249</v>
      </c>
      <c r="D9" s="3">
        <f t="shared" si="1"/>
        <v>0.3593534889458281</v>
      </c>
      <c r="E9" s="4" t="s">
        <v>96</v>
      </c>
    </row>
    <row r="10" spans="2:5" ht="12.75">
      <c r="B10" s="9">
        <v>814</v>
      </c>
      <c r="C10" s="2">
        <f aca="true" t="shared" si="2" ref="C10:C29">B10/28.349523</f>
        <v>28.713005153561138</v>
      </c>
      <c r="D10" s="2">
        <f aca="true" t="shared" si="3" ref="D10:D29">C10/16</f>
        <v>1.7945628220975711</v>
      </c>
      <c r="E10" t="s">
        <v>1704</v>
      </c>
    </row>
    <row r="11" spans="1:8" ht="12.75">
      <c r="A11" s="7"/>
      <c r="B11" s="6">
        <v>691</v>
      </c>
      <c r="C11" s="3">
        <f>B11/28.349523</f>
        <v>24.374307814632363</v>
      </c>
      <c r="D11" s="3">
        <f>C11/16</f>
        <v>1.5233942384145227</v>
      </c>
      <c r="E11" s="4" t="s">
        <v>2076</v>
      </c>
      <c r="H11" s="3"/>
    </row>
    <row r="12" spans="1:15" ht="12.75">
      <c r="A12" s="7"/>
      <c r="B12" s="6">
        <v>565</v>
      </c>
      <c r="C12" s="3">
        <f>B12/28.349523</f>
        <v>19.92978858938826</v>
      </c>
      <c r="D12" s="3">
        <f>C12/16</f>
        <v>1.2456117868367662</v>
      </c>
      <c r="E12" s="4" t="s">
        <v>1886</v>
      </c>
      <c r="H12" s="3"/>
      <c r="O12" s="2"/>
    </row>
    <row r="13" ht="12.75">
      <c r="E13" s="13" t="s">
        <v>1338</v>
      </c>
    </row>
    <row r="14" spans="2:5" ht="12.75">
      <c r="B14" s="9">
        <v>34</v>
      </c>
      <c r="C14" s="2">
        <f t="shared" si="2"/>
        <v>1.1993147115738068</v>
      </c>
      <c r="D14" s="2">
        <f t="shared" si="3"/>
        <v>0.07495716947336292</v>
      </c>
      <c r="E14" s="12" t="s">
        <v>725</v>
      </c>
    </row>
    <row r="15" spans="2:5" ht="12.75">
      <c r="B15" s="16">
        <v>44</v>
      </c>
      <c r="C15" s="2">
        <f t="shared" si="2"/>
        <v>1.5520543326249263</v>
      </c>
      <c r="D15" s="2">
        <f t="shared" si="3"/>
        <v>0.0970033957890579</v>
      </c>
      <c r="E15" s="11" t="s">
        <v>726</v>
      </c>
    </row>
    <row r="16" spans="2:5" ht="12.75">
      <c r="B16" s="9">
        <v>229</v>
      </c>
      <c r="C16" s="2">
        <f t="shared" si="2"/>
        <v>8.07773732207064</v>
      </c>
      <c r="D16" s="2">
        <f t="shared" si="3"/>
        <v>0.504858582629415</v>
      </c>
      <c r="E16" t="s">
        <v>56</v>
      </c>
    </row>
    <row r="17" spans="2:5" ht="12.75">
      <c r="B17" s="9">
        <v>92</v>
      </c>
      <c r="C17" s="2">
        <f t="shared" si="2"/>
        <v>3.2452045136703003</v>
      </c>
      <c r="D17" s="2">
        <f t="shared" si="3"/>
        <v>0.20282528210439377</v>
      </c>
      <c r="E17" s="12" t="s">
        <v>1028</v>
      </c>
    </row>
    <row r="18" spans="2:5" ht="12.75">
      <c r="B18" s="9">
        <v>94</v>
      </c>
      <c r="C18" s="2">
        <f t="shared" si="2"/>
        <v>3.3157524378805245</v>
      </c>
      <c r="D18" s="2">
        <f t="shared" si="3"/>
        <v>0.20723452736753278</v>
      </c>
      <c r="E18" s="12" t="s">
        <v>1027</v>
      </c>
    </row>
    <row r="19" spans="2:5" ht="12.75">
      <c r="B19" s="9">
        <v>236</v>
      </c>
      <c r="C19" s="2">
        <f t="shared" si="2"/>
        <v>8.324655056806423</v>
      </c>
      <c r="D19" s="2">
        <f t="shared" si="3"/>
        <v>0.5202909410504014</v>
      </c>
      <c r="E19" t="s">
        <v>2071</v>
      </c>
    </row>
    <row r="20" spans="2:5" ht="12.75">
      <c r="B20" s="9">
        <v>107</v>
      </c>
      <c r="C20" s="2">
        <f t="shared" si="2"/>
        <v>3.7743139452469796</v>
      </c>
      <c r="D20" s="2">
        <f t="shared" si="3"/>
        <v>0.23589462157793623</v>
      </c>
      <c r="E20" t="s">
        <v>1554</v>
      </c>
    </row>
    <row r="21" spans="2:5" ht="12.75">
      <c r="B21" s="9">
        <f>112</f>
        <v>112</v>
      </c>
      <c r="C21" s="2">
        <f t="shared" si="2"/>
        <v>3.95068375577254</v>
      </c>
      <c r="D21" s="2">
        <f t="shared" si="3"/>
        <v>0.24691773473578374</v>
      </c>
      <c r="E21" s="12" t="s">
        <v>494</v>
      </c>
    </row>
    <row r="22" spans="2:5" ht="12.75">
      <c r="B22" s="17">
        <v>32</v>
      </c>
      <c r="C22" s="2">
        <f t="shared" si="2"/>
        <v>1.1287667873635827</v>
      </c>
      <c r="D22" s="2">
        <f t="shared" si="3"/>
        <v>0.07054792421022392</v>
      </c>
      <c r="E22" s="13" t="s">
        <v>64</v>
      </c>
    </row>
    <row r="23" spans="2:5" ht="12.75">
      <c r="B23" s="9">
        <v>38</v>
      </c>
      <c r="C23" s="2">
        <f t="shared" si="2"/>
        <v>1.3404105599942544</v>
      </c>
      <c r="D23" s="2">
        <f t="shared" si="3"/>
        <v>0.0837756599996409</v>
      </c>
      <c r="E23" s="12" t="s">
        <v>37</v>
      </c>
    </row>
    <row r="24" spans="2:5" ht="12.75">
      <c r="B24" s="9">
        <f>88/3</f>
        <v>29.333333333333332</v>
      </c>
      <c r="C24" s="2">
        <f t="shared" si="2"/>
        <v>1.0347028884166174</v>
      </c>
      <c r="D24" s="2">
        <f t="shared" si="3"/>
        <v>0.06466893052603859</v>
      </c>
      <c r="E24" s="12" t="s">
        <v>320</v>
      </c>
    </row>
    <row r="25" spans="2:5" ht="12.75">
      <c r="B25" s="9">
        <v>56</v>
      </c>
      <c r="C25" s="2">
        <f t="shared" si="2"/>
        <v>1.97534187788627</v>
      </c>
      <c r="D25" s="2">
        <f t="shared" si="3"/>
        <v>0.12345886736789187</v>
      </c>
      <c r="E25" s="12" t="s">
        <v>1033</v>
      </c>
    </row>
    <row r="26" spans="2:5" ht="12.75">
      <c r="B26" s="9">
        <v>40</v>
      </c>
      <c r="C26" s="2">
        <f>B26/28.349523</f>
        <v>1.4109584842044784</v>
      </c>
      <c r="D26" s="2">
        <f>C26/16</f>
        <v>0.0881849052627799</v>
      </c>
      <c r="E26" s="12" t="s">
        <v>1172</v>
      </c>
    </row>
    <row r="27" spans="2:5" ht="12.75">
      <c r="B27" s="9">
        <v>87</v>
      </c>
      <c r="C27" s="2">
        <f t="shared" si="2"/>
        <v>3.0688347031447405</v>
      </c>
      <c r="D27" s="3">
        <f t="shared" si="3"/>
        <v>0.19180216894654628</v>
      </c>
      <c r="E27" t="s">
        <v>373</v>
      </c>
    </row>
    <row r="28" spans="1:6" ht="12.75">
      <c r="A28" s="7"/>
      <c r="B28" s="16">
        <v>256</v>
      </c>
      <c r="C28" s="2">
        <f t="shared" si="2"/>
        <v>9.030134298908662</v>
      </c>
      <c r="D28" s="2">
        <f t="shared" si="3"/>
        <v>0.5643833936817914</v>
      </c>
      <c r="E28" s="4" t="s">
        <v>685</v>
      </c>
      <c r="F28" s="3"/>
    </row>
    <row r="29" spans="1:6" ht="12.75">
      <c r="A29" s="7"/>
      <c r="B29" s="16">
        <v>19</v>
      </c>
      <c r="C29" s="10">
        <f t="shared" si="2"/>
        <v>0.6702052799971272</v>
      </c>
      <c r="D29" s="10">
        <f t="shared" si="3"/>
        <v>0.04188782999982045</v>
      </c>
      <c r="E29" s="4" t="s">
        <v>1326</v>
      </c>
      <c r="F29" s="3"/>
    </row>
    <row r="30" spans="2:5" ht="12.75">
      <c r="B30" s="9">
        <v>753</v>
      </c>
      <c r="C30" s="2">
        <f>B30/28.349523</f>
        <v>26.561293465149305</v>
      </c>
      <c r="D30" s="2">
        <f>C30/16</f>
        <v>1.6600808415718316</v>
      </c>
      <c r="E30" s="12" t="s">
        <v>3</v>
      </c>
    </row>
    <row r="31" spans="1:6" ht="12.75">
      <c r="A31" s="7"/>
      <c r="B31" s="16"/>
      <c r="C31" s="10"/>
      <c r="D31" s="10"/>
      <c r="E31" s="4"/>
      <c r="F31" s="3"/>
    </row>
    <row r="32" spans="2:5" ht="12.75">
      <c r="B32" s="9">
        <v>12</v>
      </c>
      <c r="C32" s="2">
        <f aca="true" t="shared" si="4" ref="C32:C37">B32/28.349523</f>
        <v>0.42328754526134355</v>
      </c>
      <c r="D32" s="2">
        <f aca="true" t="shared" si="5" ref="D32:D37">C32/16</f>
        <v>0.02645547157883397</v>
      </c>
      <c r="E32" s="12" t="s">
        <v>1430</v>
      </c>
    </row>
    <row r="33" spans="2:5" ht="12.75">
      <c r="B33" s="9">
        <v>2</v>
      </c>
      <c r="C33" s="2">
        <f t="shared" si="4"/>
        <v>0.07054792421022392</v>
      </c>
      <c r="D33" s="2">
        <f t="shared" si="5"/>
        <v>0.004409245263138995</v>
      </c>
      <c r="E33" s="12" t="s">
        <v>1470</v>
      </c>
    </row>
    <row r="34" spans="2:8" ht="12.75">
      <c r="B34" s="9">
        <v>31</v>
      </c>
      <c r="C34" s="2">
        <f t="shared" si="4"/>
        <v>1.0934928252584708</v>
      </c>
      <c r="D34" s="3">
        <f t="shared" si="5"/>
        <v>0.06834330157865443</v>
      </c>
      <c r="E34" s="12" t="s">
        <v>1218</v>
      </c>
      <c r="H34" s="3"/>
    </row>
    <row r="35" spans="2:5" ht="12.75">
      <c r="B35" s="9">
        <v>10</v>
      </c>
      <c r="C35" s="2">
        <f t="shared" si="4"/>
        <v>0.3527396210511196</v>
      </c>
      <c r="D35" s="3">
        <f t="shared" si="5"/>
        <v>0.022046226315694976</v>
      </c>
      <c r="E35" s="12" t="s">
        <v>1034</v>
      </c>
    </row>
    <row r="36" spans="2:5" ht="12.75">
      <c r="B36" s="9">
        <v>123</v>
      </c>
      <c r="C36" s="2">
        <f t="shared" si="4"/>
        <v>4.338697338928771</v>
      </c>
      <c r="D36" s="2">
        <f t="shared" si="5"/>
        <v>0.2711685836830482</v>
      </c>
      <c r="E36" s="12" t="s">
        <v>1474</v>
      </c>
    </row>
    <row r="37" spans="2:5" ht="12.75">
      <c r="B37" s="9">
        <v>651</v>
      </c>
      <c r="C37" s="2">
        <f t="shared" si="4"/>
        <v>22.963349330427885</v>
      </c>
      <c r="D37" s="2">
        <f t="shared" si="5"/>
        <v>1.4352093331517428</v>
      </c>
      <c r="E37" s="12" t="s">
        <v>1498</v>
      </c>
    </row>
    <row r="38" spans="2:4" ht="12.75">
      <c r="B38" s="9"/>
      <c r="C38" s="2"/>
      <c r="D38" s="2"/>
    </row>
    <row r="39" spans="2:5" ht="12.75">
      <c r="B39">
        <v>21</v>
      </c>
      <c r="C39" s="2">
        <f aca="true" t="shared" si="6" ref="C39:C50">B39/28.349523</f>
        <v>0.7407532042073511</v>
      </c>
      <c r="D39" s="2">
        <f aca="true" t="shared" si="7" ref="D39:D50">C39/16</f>
        <v>0.046297075262959446</v>
      </c>
      <c r="E39" s="4" t="s">
        <v>86</v>
      </c>
    </row>
    <row r="40" spans="2:5" ht="12.75">
      <c r="B40" s="9">
        <v>6</v>
      </c>
      <c r="C40" s="2">
        <f t="shared" si="6"/>
        <v>0.21164377263067177</v>
      </c>
      <c r="D40" s="2">
        <f t="shared" si="7"/>
        <v>0.013227735789416986</v>
      </c>
      <c r="E40" s="12" t="s">
        <v>1518</v>
      </c>
    </row>
    <row r="41" spans="2:5" ht="12.75">
      <c r="B41" s="9"/>
      <c r="C41" s="2"/>
      <c r="D41" s="2"/>
      <c r="E41" s="12" t="s">
        <v>1613</v>
      </c>
    </row>
    <row r="42" spans="2:5" ht="12.75">
      <c r="B42" s="9">
        <v>15</v>
      </c>
      <c r="C42" s="2">
        <f t="shared" si="6"/>
        <v>0.5291094315766794</v>
      </c>
      <c r="D42" s="2">
        <f t="shared" si="7"/>
        <v>0.033069339473542465</v>
      </c>
      <c r="E42" s="11" t="s">
        <v>1063</v>
      </c>
    </row>
    <row r="43" spans="2:5" ht="12.75">
      <c r="B43" s="9">
        <v>6</v>
      </c>
      <c r="C43" s="2">
        <f t="shared" si="6"/>
        <v>0.21164377263067177</v>
      </c>
      <c r="D43" s="2">
        <f t="shared" si="7"/>
        <v>0.013227735789416986</v>
      </c>
      <c r="E43" s="12" t="s">
        <v>1699</v>
      </c>
    </row>
    <row r="44" spans="2:5" ht="12.75">
      <c r="B44" s="9">
        <v>7</v>
      </c>
      <c r="C44" s="2">
        <f t="shared" si="6"/>
        <v>0.24691773473578374</v>
      </c>
      <c r="D44" s="3">
        <f t="shared" si="7"/>
        <v>0.015432358420986484</v>
      </c>
      <c r="E44" s="4" t="s">
        <v>1524</v>
      </c>
    </row>
    <row r="45" spans="2:5" ht="12.75">
      <c r="B45" s="9">
        <v>10</v>
      </c>
      <c r="C45" s="2">
        <f t="shared" si="6"/>
        <v>0.3527396210511196</v>
      </c>
      <c r="D45" s="2">
        <f t="shared" si="7"/>
        <v>0.022046226315694976</v>
      </c>
      <c r="E45" s="12" t="s">
        <v>343</v>
      </c>
    </row>
    <row r="46" spans="2:5" ht="12.75">
      <c r="B46" s="9">
        <f>46/4</f>
        <v>11.5</v>
      </c>
      <c r="C46" s="2">
        <f t="shared" si="6"/>
        <v>0.40565056420878753</v>
      </c>
      <c r="D46" s="2">
        <f t="shared" si="7"/>
        <v>0.02535316026304922</v>
      </c>
      <c r="E46" s="12" t="s">
        <v>1532</v>
      </c>
    </row>
    <row r="47" spans="2:5" ht="12.75">
      <c r="B47" s="9">
        <v>4</v>
      </c>
      <c r="C47" s="2">
        <f t="shared" si="6"/>
        <v>0.14109584842044784</v>
      </c>
      <c r="D47" s="2">
        <f t="shared" si="7"/>
        <v>0.00881849052627799</v>
      </c>
      <c r="E47" s="12" t="s">
        <v>1614</v>
      </c>
    </row>
    <row r="48" spans="2:5" ht="12.75">
      <c r="B48" s="9">
        <v>3</v>
      </c>
      <c r="C48" s="2">
        <f t="shared" si="6"/>
        <v>0.10582188631533589</v>
      </c>
      <c r="D48" s="2">
        <f t="shared" si="7"/>
        <v>0.006613867894708493</v>
      </c>
      <c r="E48" s="12" t="s">
        <v>1525</v>
      </c>
    </row>
    <row r="49" spans="2:5" ht="12.75">
      <c r="B49" s="9">
        <v>412</v>
      </c>
      <c r="C49" s="2">
        <f t="shared" si="6"/>
        <v>14.532872387306128</v>
      </c>
      <c r="D49" s="2">
        <f t="shared" si="7"/>
        <v>0.908304524206633</v>
      </c>
      <c r="E49" s="15" t="s">
        <v>1294</v>
      </c>
    </row>
    <row r="50" spans="2:5" ht="12.75">
      <c r="B50" s="9">
        <v>296</v>
      </c>
      <c r="C50" s="2">
        <f t="shared" si="6"/>
        <v>10.44109278311314</v>
      </c>
      <c r="D50" s="2">
        <f t="shared" si="7"/>
        <v>0.6525682989445712</v>
      </c>
      <c r="E50" s="15" t="s">
        <v>1295</v>
      </c>
    </row>
    <row r="51" spans="2:5" ht="12.75">
      <c r="B51" s="9"/>
      <c r="C51" s="2"/>
      <c r="D51" s="2"/>
      <c r="E51" s="15" t="s">
        <v>1296</v>
      </c>
    </row>
    <row r="52" spans="2:5" ht="12.75">
      <c r="B52" s="9"/>
      <c r="C52" s="2"/>
      <c r="D52" s="2"/>
      <c r="E52" s="15" t="s">
        <v>1297</v>
      </c>
    </row>
    <row r="53" spans="2:5" ht="12.75">
      <c r="B53" s="9"/>
      <c r="C53" s="2"/>
      <c r="D53" s="2"/>
      <c r="E53" s="15" t="s">
        <v>1311</v>
      </c>
    </row>
    <row r="54" spans="2:5" ht="12.75">
      <c r="B54" s="9"/>
      <c r="C54" s="2"/>
      <c r="D54" s="2"/>
      <c r="E54" s="15" t="s">
        <v>1312</v>
      </c>
    </row>
    <row r="55" spans="2:5" ht="12.75">
      <c r="B55" s="9">
        <v>17</v>
      </c>
      <c r="C55" s="2">
        <f aca="true" t="shared" si="8" ref="C55:C65">B55/28.349523</f>
        <v>0.5996573557869034</v>
      </c>
      <c r="D55" s="2">
        <f aca="true" t="shared" si="9" ref="D55:D65">C55/16</f>
        <v>0.03747858473668146</v>
      </c>
      <c r="E55" s="12" t="s">
        <v>1473</v>
      </c>
    </row>
    <row r="56" spans="2:5" ht="12.75">
      <c r="B56" s="9">
        <v>4</v>
      </c>
      <c r="C56" s="2">
        <f t="shared" si="8"/>
        <v>0.14109584842044784</v>
      </c>
      <c r="D56" s="2">
        <f t="shared" si="9"/>
        <v>0.00881849052627799</v>
      </c>
      <c r="E56" s="11" t="s">
        <v>1064</v>
      </c>
    </row>
    <row r="57" spans="2:5" ht="12.75">
      <c r="B57" s="9">
        <v>33</v>
      </c>
      <c r="C57" s="2">
        <f t="shared" si="8"/>
        <v>1.1640407494686946</v>
      </c>
      <c r="D57" s="2">
        <f t="shared" si="9"/>
        <v>0.07275254684179341</v>
      </c>
      <c r="E57" s="11" t="s">
        <v>1479</v>
      </c>
    </row>
    <row r="58" spans="2:5" ht="12.75">
      <c r="B58" s="9">
        <v>66</v>
      </c>
      <c r="C58" s="2">
        <f t="shared" si="8"/>
        <v>2.3280814989373892</v>
      </c>
      <c r="D58" s="2">
        <f t="shared" si="9"/>
        <v>0.14550509368358683</v>
      </c>
      <c r="E58" s="11" t="s">
        <v>944</v>
      </c>
    </row>
    <row r="59" spans="2:5" ht="12.75">
      <c r="B59" s="9">
        <v>7</v>
      </c>
      <c r="C59" s="2">
        <f t="shared" si="8"/>
        <v>0.24691773473578374</v>
      </c>
      <c r="D59" s="2">
        <f t="shared" si="9"/>
        <v>0.015432358420986484</v>
      </c>
      <c r="E59" s="11" t="s">
        <v>1506</v>
      </c>
    </row>
    <row r="60" spans="2:5" ht="12.75">
      <c r="B60" s="9">
        <v>4</v>
      </c>
      <c r="C60" s="2">
        <f t="shared" si="8"/>
        <v>0.14109584842044784</v>
      </c>
      <c r="D60" s="2">
        <f t="shared" si="9"/>
        <v>0.00881849052627799</v>
      </c>
      <c r="E60" s="11" t="s">
        <v>1499</v>
      </c>
    </row>
    <row r="61" spans="2:5" ht="12.75">
      <c r="B61" s="9">
        <v>33</v>
      </c>
      <c r="C61" s="2">
        <f t="shared" si="8"/>
        <v>1.1640407494686946</v>
      </c>
      <c r="D61" s="2">
        <f t="shared" si="9"/>
        <v>0.07275254684179341</v>
      </c>
      <c r="E61" s="11" t="s">
        <v>1429</v>
      </c>
    </row>
    <row r="62" spans="2:5" ht="12.75">
      <c r="B62" s="9">
        <v>16</v>
      </c>
      <c r="C62" s="2">
        <f t="shared" si="8"/>
        <v>0.5643833936817914</v>
      </c>
      <c r="D62" s="2">
        <f t="shared" si="9"/>
        <v>0.03527396210511196</v>
      </c>
      <c r="E62" s="11" t="s">
        <v>1313</v>
      </c>
    </row>
    <row r="63" spans="2:5" ht="12.75">
      <c r="B63" s="9">
        <f>2+9</f>
        <v>11</v>
      </c>
      <c r="C63" s="2">
        <f t="shared" si="8"/>
        <v>0.3880135831562316</v>
      </c>
      <c r="D63" s="2">
        <f t="shared" si="9"/>
        <v>0.024250848947264474</v>
      </c>
      <c r="E63" s="11" t="s">
        <v>1567</v>
      </c>
    </row>
    <row r="64" spans="2:5" ht="12.75">
      <c r="B64" s="9">
        <v>10</v>
      </c>
      <c r="C64" s="2">
        <f t="shared" si="8"/>
        <v>0.3527396210511196</v>
      </c>
      <c r="D64" s="2">
        <f t="shared" si="9"/>
        <v>0.022046226315694976</v>
      </c>
      <c r="E64" s="11" t="s">
        <v>1431</v>
      </c>
    </row>
    <row r="65" spans="2:5" ht="12.75">
      <c r="B65" s="16">
        <v>74</v>
      </c>
      <c r="C65" s="2">
        <f t="shared" si="8"/>
        <v>2.610273195778285</v>
      </c>
      <c r="D65" s="2">
        <f t="shared" si="9"/>
        <v>0.1631420747361428</v>
      </c>
      <c r="E65" s="13" t="s">
        <v>1519</v>
      </c>
    </row>
    <row r="67" spans="2:5" ht="12.75">
      <c r="B67" s="16">
        <v>32</v>
      </c>
      <c r="C67" s="2">
        <f>B67/28.349523</f>
        <v>1.1287667873635827</v>
      </c>
      <c r="D67" s="2">
        <f>C67/16</f>
        <v>0.07054792421022392</v>
      </c>
      <c r="E67" s="13" t="s">
        <v>1709</v>
      </c>
    </row>
    <row r="68" spans="2:5" ht="12.75">
      <c r="B68" s="16">
        <v>53</v>
      </c>
      <c r="C68" s="2">
        <f>B68/28.349523</f>
        <v>1.869519991570934</v>
      </c>
      <c r="D68" s="2">
        <f>C68/16</f>
        <v>0.11684499947318337</v>
      </c>
      <c r="E68" s="11" t="s">
        <v>1068</v>
      </c>
    </row>
    <row r="69" spans="2:5" ht="12.75">
      <c r="B69" s="9">
        <v>57</v>
      </c>
      <c r="C69" s="2">
        <f>B69/28.349523</f>
        <v>2.010615839991382</v>
      </c>
      <c r="D69" s="2">
        <f>C69/16</f>
        <v>0.12566348999946136</v>
      </c>
      <c r="E69" s="13" t="s">
        <v>1308</v>
      </c>
    </row>
    <row r="70" spans="2:5" ht="12.75">
      <c r="B70" s="9">
        <v>41</v>
      </c>
      <c r="C70" s="2">
        <f>B70/28.349523</f>
        <v>1.4462324463095904</v>
      </c>
      <c r="D70" s="2">
        <f>C70/16</f>
        <v>0.0903895278943494</v>
      </c>
      <c r="E70" s="11" t="s">
        <v>1009</v>
      </c>
    </row>
    <row r="71" spans="2:5" ht="12.75">
      <c r="B71" s="9">
        <v>35</v>
      </c>
      <c r="C71" s="2">
        <f>B71/28.349523</f>
        <v>1.2345886736789187</v>
      </c>
      <c r="D71" s="2">
        <f>C71/16</f>
        <v>0.07716179210493242</v>
      </c>
      <c r="E71" t="s">
        <v>1980</v>
      </c>
    </row>
    <row r="72" spans="2:8" ht="12.75">
      <c r="B72" s="9"/>
      <c r="C72" s="2"/>
      <c r="D72" s="2"/>
      <c r="E72" s="4"/>
      <c r="H72" s="3"/>
    </row>
    <row r="73" spans="2:8" ht="12.75">
      <c r="B73" s="9">
        <f>SUM(B3:B72)</f>
        <v>6728.833333333334</v>
      </c>
      <c r="C73" s="2">
        <f>B73/28.349523</f>
        <v>237.3526120116142</v>
      </c>
      <c r="D73" s="2">
        <f>C73/16</f>
        <v>14.834538250725888</v>
      </c>
      <c r="E73" s="11" t="s">
        <v>338</v>
      </c>
      <c r="G73">
        <f>COUNT(B3:B72)</f>
        <v>59</v>
      </c>
      <c r="H73" t="s">
        <v>38</v>
      </c>
    </row>
    <row r="74" spans="2:4" ht="12.75">
      <c r="B74" s="9"/>
      <c r="C74" s="2"/>
      <c r="D74" s="2"/>
    </row>
    <row r="75" spans="2:5" ht="12.75">
      <c r="B75" s="9"/>
      <c r="C75" s="2"/>
      <c r="D75" s="2"/>
      <c r="E75" s="12" t="s">
        <v>1025</v>
      </c>
    </row>
    <row r="76" spans="2:5" ht="12.75">
      <c r="B76" s="9">
        <v>50</v>
      </c>
      <c r="C76" s="2">
        <f aca="true" t="shared" si="10" ref="C76:C86">B76/28.349523</f>
        <v>1.763698105255598</v>
      </c>
      <c r="D76" s="2">
        <f aca="true" t="shared" si="11" ref="D76:D86">C76/16</f>
        <v>0.11023113157847488</v>
      </c>
      <c r="E76" s="12" t="s">
        <v>318</v>
      </c>
    </row>
    <row r="77" spans="2:5" ht="12.75">
      <c r="B77" s="9">
        <v>324</v>
      </c>
      <c r="C77" s="2">
        <f t="shared" si="10"/>
        <v>11.428763722056276</v>
      </c>
      <c r="D77" s="2">
        <f t="shared" si="11"/>
        <v>0.7142977326285173</v>
      </c>
      <c r="E77" s="12" t="s">
        <v>1170</v>
      </c>
    </row>
    <row r="78" spans="2:5" ht="12.75">
      <c r="B78" s="9">
        <f>88/3</f>
        <v>29.333333333333332</v>
      </c>
      <c r="C78" s="2">
        <f t="shared" si="10"/>
        <v>1.0347028884166174</v>
      </c>
      <c r="D78" s="2">
        <f t="shared" si="11"/>
        <v>0.06466893052603859</v>
      </c>
      <c r="E78" s="12" t="s">
        <v>321</v>
      </c>
    </row>
    <row r="80" spans="2:5" ht="12.75">
      <c r="B80" s="9">
        <v>56</v>
      </c>
      <c r="C80" s="2">
        <f t="shared" si="10"/>
        <v>1.97534187788627</v>
      </c>
      <c r="D80" s="2">
        <f t="shared" si="11"/>
        <v>0.12345886736789187</v>
      </c>
      <c r="E80" s="12" t="s">
        <v>319</v>
      </c>
    </row>
    <row r="81" spans="2:9" ht="12.75">
      <c r="B81" s="9">
        <f>608+625</f>
        <v>1233</v>
      </c>
      <c r="C81" s="2">
        <f t="shared" si="10"/>
        <v>43.49279527560305</v>
      </c>
      <c r="D81" s="2">
        <f t="shared" si="11"/>
        <v>2.7182997047251907</v>
      </c>
      <c r="E81" t="s">
        <v>1329</v>
      </c>
      <c r="G81" s="9"/>
      <c r="H81" s="3"/>
      <c r="I81" s="3"/>
    </row>
    <row r="82" spans="2:5" ht="12.75">
      <c r="B82" s="9">
        <v>177</v>
      </c>
      <c r="C82" s="3">
        <f t="shared" si="10"/>
        <v>6.243491292604817</v>
      </c>
      <c r="D82" s="3">
        <f t="shared" si="11"/>
        <v>0.3902182057878011</v>
      </c>
      <c r="E82" t="s">
        <v>374</v>
      </c>
    </row>
    <row r="83" spans="2:5" ht="12.75">
      <c r="B83" s="9">
        <v>40</v>
      </c>
      <c r="C83" s="2">
        <f t="shared" si="10"/>
        <v>1.4109584842044784</v>
      </c>
      <c r="D83" s="2">
        <f t="shared" si="11"/>
        <v>0.0881849052627799</v>
      </c>
      <c r="E83" s="12" t="s">
        <v>322</v>
      </c>
    </row>
    <row r="84" spans="2:5" ht="12.75">
      <c r="B84" s="9">
        <v>25</v>
      </c>
      <c r="C84" s="2">
        <f t="shared" si="10"/>
        <v>0.881849052627799</v>
      </c>
      <c r="D84" s="2">
        <f t="shared" si="11"/>
        <v>0.05511556578923744</v>
      </c>
      <c r="E84" t="s">
        <v>1508</v>
      </c>
    </row>
    <row r="85" spans="2:5" ht="12.75">
      <c r="B85" s="16">
        <v>53</v>
      </c>
      <c r="C85" s="2">
        <f t="shared" si="10"/>
        <v>1.869519991570934</v>
      </c>
      <c r="D85" s="2">
        <f t="shared" si="11"/>
        <v>0.11684499947318337</v>
      </c>
      <c r="E85" s="11" t="s">
        <v>1069</v>
      </c>
    </row>
    <row r="86" spans="2:5" ht="12.75">
      <c r="B86" s="9">
        <f>SUM(B76:B85)</f>
        <v>1987.3333333333333</v>
      </c>
      <c r="C86" s="2">
        <f t="shared" si="10"/>
        <v>70.10112069022584</v>
      </c>
      <c r="D86" s="2">
        <f t="shared" si="11"/>
        <v>4.381320043139115</v>
      </c>
      <c r="E86" s="11" t="s">
        <v>1509</v>
      </c>
    </row>
    <row r="87" spans="2:5" ht="12.75">
      <c r="B87" s="16"/>
      <c r="C87" s="2"/>
      <c r="D87" s="2"/>
      <c r="E87" s="11"/>
    </row>
    <row r="88" spans="2:5" ht="12.75">
      <c r="B88" s="9"/>
      <c r="C88" s="2"/>
      <c r="D88" s="2"/>
      <c r="E88" s="15" t="s">
        <v>1021</v>
      </c>
    </row>
    <row r="89" spans="2:5" ht="12.75">
      <c r="B89" s="16">
        <v>76</v>
      </c>
      <c r="C89" s="2">
        <f aca="true" t="shared" si="12" ref="C89:C95">B89/28.349523</f>
        <v>2.680821119988509</v>
      </c>
      <c r="D89" s="2">
        <f aca="true" t="shared" si="13" ref="D89:D95">C89/16</f>
        <v>0.1675513199992818</v>
      </c>
      <c r="E89" s="13" t="s">
        <v>708</v>
      </c>
    </row>
    <row r="90" spans="2:5" ht="12.75">
      <c r="B90" s="9">
        <v>57</v>
      </c>
      <c r="C90" s="2">
        <f t="shared" si="12"/>
        <v>2.010615839991382</v>
      </c>
      <c r="D90" s="2">
        <f t="shared" si="13"/>
        <v>0.12566348999946136</v>
      </c>
      <c r="E90" s="12" t="s">
        <v>1955</v>
      </c>
    </row>
    <row r="91" spans="2:5" ht="12.75">
      <c r="B91" s="9">
        <v>207</v>
      </c>
      <c r="C91" s="2">
        <f t="shared" si="12"/>
        <v>7.301710155758176</v>
      </c>
      <c r="D91" s="2">
        <f t="shared" si="13"/>
        <v>0.456356884734886</v>
      </c>
      <c r="E91" s="12" t="s">
        <v>1894</v>
      </c>
    </row>
    <row r="92" spans="2:5" ht="12.75">
      <c r="B92" s="9">
        <v>125</v>
      </c>
      <c r="C92" s="2">
        <f t="shared" si="12"/>
        <v>4.409245263138995</v>
      </c>
      <c r="D92" s="2">
        <f t="shared" si="13"/>
        <v>0.2755778289461872</v>
      </c>
      <c r="E92" s="12" t="s">
        <v>1171</v>
      </c>
    </row>
    <row r="93" spans="2:5" ht="12.75">
      <c r="B93" s="9">
        <f>90+21+29</f>
        <v>140</v>
      </c>
      <c r="C93" s="2">
        <f t="shared" si="12"/>
        <v>4.938354694715675</v>
      </c>
      <c r="D93" s="2">
        <f t="shared" si="13"/>
        <v>0.30864716841972967</v>
      </c>
      <c r="E93" s="12" t="s">
        <v>1707</v>
      </c>
    </row>
    <row r="94" spans="2:5" ht="12.75">
      <c r="B94" s="9">
        <v>7</v>
      </c>
      <c r="C94" s="2">
        <f t="shared" si="12"/>
        <v>0.24691773473578374</v>
      </c>
      <c r="D94" s="2">
        <f t="shared" si="13"/>
        <v>0.015432358420986484</v>
      </c>
      <c r="E94" s="11" t="s">
        <v>70</v>
      </c>
    </row>
    <row r="95" spans="2:5" ht="12.75">
      <c r="B95" s="9">
        <v>13</v>
      </c>
      <c r="C95" s="2">
        <f t="shared" si="12"/>
        <v>0.4585615073664555</v>
      </c>
      <c r="D95" s="2">
        <f t="shared" si="13"/>
        <v>0.02866009421040347</v>
      </c>
      <c r="E95" s="11" t="s">
        <v>1685</v>
      </c>
    </row>
    <row r="96" spans="2:5" ht="12.75">
      <c r="B96" s="9"/>
      <c r="C96" s="2"/>
      <c r="D96" s="2"/>
      <c r="E96" s="11" t="s">
        <v>1066</v>
      </c>
    </row>
    <row r="97" spans="2:4" ht="12.75">
      <c r="B97" s="9"/>
      <c r="C97" s="2"/>
      <c r="D97" s="2"/>
    </row>
    <row r="98" spans="2:5" ht="12.75">
      <c r="B98" s="9"/>
      <c r="C98" s="2"/>
      <c r="D98" s="2"/>
      <c r="E98" s="12" t="s">
        <v>1686</v>
      </c>
    </row>
    <row r="99" spans="2:5" ht="12.75">
      <c r="B99" s="9"/>
      <c r="C99" s="2"/>
      <c r="D99" s="2"/>
      <c r="E99" s="12" t="s">
        <v>1306</v>
      </c>
    </row>
    <row r="100" spans="2:5" ht="12.75">
      <c r="B100" s="9"/>
      <c r="C100" s="2"/>
      <c r="D100" s="2"/>
      <c r="E100" s="12" t="s">
        <v>1564</v>
      </c>
    </row>
    <row r="101" spans="2:5" ht="12.75">
      <c r="B101" s="9"/>
      <c r="C101" s="2"/>
      <c r="D101" s="2"/>
      <c r="E101" s="12" t="s">
        <v>1695</v>
      </c>
    </row>
    <row r="102" spans="2:5" ht="12.75">
      <c r="B102" s="9"/>
      <c r="C102" s="2"/>
      <c r="D102" s="2"/>
      <c r="E102" s="12" t="s">
        <v>1696</v>
      </c>
    </row>
    <row r="103" spans="2:5" ht="12.75">
      <c r="B103" s="9"/>
      <c r="C103" s="2"/>
      <c r="D103" s="2"/>
      <c r="E103" s="12" t="s">
        <v>1697</v>
      </c>
    </row>
    <row r="104" spans="2:5" ht="12.75">
      <c r="B104" s="9"/>
      <c r="C104" s="2"/>
      <c r="D104" s="2"/>
      <c r="E104" s="12" t="s">
        <v>1307</v>
      </c>
    </row>
    <row r="105" spans="2:5" ht="12.75">
      <c r="B105" s="9"/>
      <c r="C105" s="2"/>
      <c r="D105" s="2"/>
      <c r="E105" s="12" t="s">
        <v>1996</v>
      </c>
    </row>
    <row r="106" spans="2:5" ht="12.75">
      <c r="B106" s="9"/>
      <c r="C106" s="2"/>
      <c r="D106" s="2"/>
      <c r="E106" s="12" t="s">
        <v>1472</v>
      </c>
    </row>
    <row r="107" spans="2:5" ht="12.75">
      <c r="B107" s="9"/>
      <c r="C107" s="2"/>
      <c r="D107" s="2"/>
      <c r="E107" s="12" t="s">
        <v>1305</v>
      </c>
    </row>
    <row r="108" spans="2:5" ht="12.75">
      <c r="B108" s="9"/>
      <c r="C108" s="2"/>
      <c r="D108" s="2"/>
      <c r="E108" s="12" t="s">
        <v>1999</v>
      </c>
    </row>
    <row r="109" spans="2:5" ht="12.75">
      <c r="B109" s="9"/>
      <c r="C109" s="2"/>
      <c r="D109" s="2"/>
      <c r="E109" s="12" t="s">
        <v>2000</v>
      </c>
    </row>
    <row r="110" spans="2:5" ht="12.75">
      <c r="B110" s="9"/>
      <c r="C110" s="2"/>
      <c r="D110" s="2"/>
      <c r="E110" s="12" t="s">
        <v>2001</v>
      </c>
    </row>
    <row r="111" spans="2:5" ht="12.75">
      <c r="B111" s="9"/>
      <c r="C111" s="2"/>
      <c r="D111" s="2"/>
      <c r="E111" s="12" t="s">
        <v>1684</v>
      </c>
    </row>
    <row r="112" spans="2:5" ht="12.75">
      <c r="B112" s="9"/>
      <c r="C112" s="2"/>
      <c r="D112" s="2"/>
      <c r="E112" s="12" t="s">
        <v>1690</v>
      </c>
    </row>
    <row r="113" spans="2:5" ht="12.75">
      <c r="B113" s="9"/>
      <c r="C113" s="2"/>
      <c r="D113" s="2"/>
      <c r="E113" s="12" t="s">
        <v>1691</v>
      </c>
    </row>
    <row r="114" spans="2:5" ht="12.75">
      <c r="B114" s="9"/>
      <c r="C114" s="2"/>
      <c r="D114" s="2"/>
      <c r="E114" s="12" t="s">
        <v>1692</v>
      </c>
    </row>
    <row r="115" spans="3:5" ht="12.75">
      <c r="C115" s="2"/>
      <c r="D115" s="2"/>
      <c r="E115" s="12" t="s">
        <v>1332</v>
      </c>
    </row>
    <row r="116" spans="2:5" ht="12.75">
      <c r="B116" s="9"/>
      <c r="C116" s="2"/>
      <c r="D116" s="2"/>
      <c r="E116" s="12" t="s">
        <v>1698</v>
      </c>
    </row>
    <row r="117" spans="2:5" ht="12.75">
      <c r="B117" s="9"/>
      <c r="C117" s="2"/>
      <c r="D117" s="2"/>
      <c r="E117" s="12" t="s">
        <v>1300</v>
      </c>
    </row>
    <row r="118" spans="2:5" ht="12.75">
      <c r="B118" s="9"/>
      <c r="C118" s="2"/>
      <c r="D118" s="2"/>
      <c r="E118" s="12" t="s">
        <v>958</v>
      </c>
    </row>
    <row r="119" spans="2:5" ht="12.75">
      <c r="B119" s="9"/>
      <c r="C119" s="2"/>
      <c r="D119" s="2"/>
      <c r="E119" s="12" t="s">
        <v>1476</v>
      </c>
    </row>
    <row r="120" spans="2:5" ht="12.75">
      <c r="B120" s="6"/>
      <c r="C120" s="2"/>
      <c r="D120" s="3"/>
      <c r="E120" s="4" t="s">
        <v>1527</v>
      </c>
    </row>
    <row r="121" ht="12.75">
      <c r="E121" s="12" t="s">
        <v>1298</v>
      </c>
    </row>
    <row r="122" ht="12.75">
      <c r="E122" s="12" t="s">
        <v>1299</v>
      </c>
    </row>
    <row r="123" ht="12.75">
      <c r="E123" s="12" t="s">
        <v>1301</v>
      </c>
    </row>
    <row r="124" ht="12.75">
      <c r="E124" s="13" t="s">
        <v>1302</v>
      </c>
    </row>
    <row r="125" spans="1:5" ht="12.75">
      <c r="A125" s="9"/>
      <c r="E125" s="12" t="s">
        <v>1303</v>
      </c>
    </row>
    <row r="126" ht="12.75">
      <c r="E126" s="12" t="s">
        <v>1304</v>
      </c>
    </row>
    <row r="127" spans="1:7" ht="12.75">
      <c r="A127" s="9"/>
      <c r="B127" s="9"/>
      <c r="C127" s="2"/>
      <c r="D127" s="2"/>
      <c r="E127" s="12" t="s">
        <v>1309</v>
      </c>
      <c r="G127" s="3"/>
    </row>
    <row r="128" spans="2:5" ht="12.75">
      <c r="B128" s="9"/>
      <c r="C128" s="2"/>
      <c r="D128" s="2"/>
      <c r="E128" s="12" t="s">
        <v>1327</v>
      </c>
    </row>
    <row r="129" spans="2:5" ht="12.75">
      <c r="B129" s="9"/>
      <c r="C129" s="2"/>
      <c r="D129" s="2"/>
      <c r="E129" s="12" t="s">
        <v>1328</v>
      </c>
    </row>
    <row r="130" spans="2:5" ht="12.75" customHeight="1">
      <c r="B130" s="9"/>
      <c r="C130" s="2"/>
      <c r="D130" s="2"/>
      <c r="E130" s="11" t="s">
        <v>1330</v>
      </c>
    </row>
    <row r="131" spans="2:5" ht="12.75">
      <c r="B131" s="9"/>
      <c r="C131" s="2"/>
      <c r="D131" s="2"/>
      <c r="E131" s="11" t="s">
        <v>1331</v>
      </c>
    </row>
    <row r="132" spans="2:5" ht="12.75" customHeight="1">
      <c r="B132" s="9"/>
      <c r="C132" s="2"/>
      <c r="D132" s="2"/>
      <c r="E132" s="11" t="s">
        <v>1333</v>
      </c>
    </row>
    <row r="133" spans="2:5" ht="12.75" customHeight="1">
      <c r="B133" s="9"/>
      <c r="C133" s="2"/>
      <c r="D133" s="2"/>
      <c r="E133" s="11" t="s">
        <v>1334</v>
      </c>
    </row>
    <row r="134" spans="2:14" ht="12.75">
      <c r="B134" s="9"/>
      <c r="C134" s="2"/>
      <c r="D134" s="2"/>
      <c r="E134" s="11" t="s">
        <v>1335</v>
      </c>
      <c r="N134" s="9"/>
    </row>
    <row r="135" spans="2:4" ht="12.75">
      <c r="B135" s="9"/>
      <c r="C135" s="2"/>
      <c r="D135" s="2"/>
    </row>
    <row r="136" spans="2:5" ht="12.75">
      <c r="B136" s="9"/>
      <c r="C136" s="2"/>
      <c r="D136" s="2"/>
      <c r="E136" s="4"/>
    </row>
    <row r="137" spans="2:4" ht="12.75">
      <c r="B137" s="9"/>
      <c r="C137" s="2"/>
      <c r="D137" s="2"/>
    </row>
    <row r="138" spans="2:4" ht="12.75">
      <c r="B138" s="9"/>
      <c r="C138" s="2"/>
      <c r="D138" s="2"/>
    </row>
    <row r="139" spans="2:4" ht="12.75">
      <c r="B139" s="9"/>
      <c r="C139" s="2"/>
      <c r="D139" s="2"/>
    </row>
    <row r="140" spans="2:4" ht="12.75">
      <c r="B140" s="9"/>
      <c r="C140" s="2"/>
      <c r="D140" s="2"/>
    </row>
    <row r="141" spans="2:4" ht="12.75">
      <c r="B141" s="9"/>
      <c r="C141" s="2"/>
      <c r="D141" s="2"/>
    </row>
    <row r="142" spans="2:4" ht="12.75">
      <c r="B142" s="9"/>
      <c r="C142" s="2"/>
      <c r="D142" s="2"/>
    </row>
    <row r="143" spans="2:5" ht="12.75">
      <c r="B143" s="9"/>
      <c r="C143" s="2"/>
      <c r="D143" s="2"/>
      <c r="E143" s="11"/>
    </row>
    <row r="144" spans="2:4" ht="12.75">
      <c r="B144" s="9"/>
      <c r="C144" s="2"/>
      <c r="D144" s="2"/>
    </row>
    <row r="145" spans="2:4" ht="12.75">
      <c r="B145" s="9"/>
      <c r="C145" s="2"/>
      <c r="D145" s="2"/>
    </row>
    <row r="146" spans="2:4" ht="12.75">
      <c r="B146" s="16"/>
      <c r="C146" s="2"/>
      <c r="D146" s="2"/>
    </row>
    <row r="147" spans="2:4" ht="12.75">
      <c r="B147" s="9"/>
      <c r="C147" s="2"/>
      <c r="D147" s="2"/>
    </row>
    <row r="148" spans="2:5" ht="12.75">
      <c r="B148" s="9"/>
      <c r="C148" s="2"/>
      <c r="D148" s="2"/>
      <c r="E148" s="11"/>
    </row>
    <row r="149" spans="2:5" ht="12.75">
      <c r="B149" s="9"/>
      <c r="C149" s="2"/>
      <c r="D149" s="2"/>
      <c r="E149" s="11"/>
    </row>
    <row r="150" spans="2:5" ht="12.75">
      <c r="B150" s="9"/>
      <c r="C150" s="2"/>
      <c r="D150" s="2"/>
      <c r="E150" s="11"/>
    </row>
    <row r="151" spans="2:5" ht="12.75">
      <c r="B151" s="16"/>
      <c r="C151" s="2"/>
      <c r="D151" s="2"/>
      <c r="E151" s="13"/>
    </row>
    <row r="152" spans="2:4" ht="12.75">
      <c r="B152" s="9"/>
      <c r="C152" s="2"/>
      <c r="D152" s="2"/>
    </row>
    <row r="153" ht="12.75">
      <c r="B153" s="9"/>
    </row>
    <row r="154" ht="12.75">
      <c r="B154" s="9"/>
    </row>
    <row r="155" ht="12.75">
      <c r="B155" s="9"/>
    </row>
    <row r="156" ht="12.75">
      <c r="B156" s="9"/>
    </row>
    <row r="157" ht="12.75">
      <c r="B157" s="9"/>
    </row>
    <row r="158" ht="12.75">
      <c r="B158" s="9"/>
    </row>
    <row r="159" ht="12.75">
      <c r="B159" s="9"/>
    </row>
    <row r="160" ht="12.75">
      <c r="B160" s="9"/>
    </row>
    <row r="161" ht="12.75">
      <c r="B161" s="9"/>
    </row>
    <row r="162" ht="12.75">
      <c r="B162" s="9"/>
    </row>
    <row r="163" ht="12.75">
      <c r="B163" s="9"/>
    </row>
    <row r="164" ht="12.75">
      <c r="B164" s="9"/>
    </row>
  </sheetData>
  <printOptions/>
  <pageMargins left="0.4" right="0.4" top="0.4" bottom="0.6" header="0.5" footer="0.5"/>
  <pageSetup horizontalDpi="300" verticalDpi="300" orientation="portrait" r:id="rId1"/>
</worksheet>
</file>

<file path=xl/worksheets/sheet35.xml><?xml version="1.0" encoding="utf-8"?>
<worksheet xmlns="http://schemas.openxmlformats.org/spreadsheetml/2006/main" xmlns:r="http://schemas.openxmlformats.org/officeDocument/2006/relationships">
  <dimension ref="A1:AD80"/>
  <sheetViews>
    <sheetView workbookViewId="0" topLeftCell="A1">
      <pane ySplit="1" topLeftCell="BM2" activePane="bottomLeft" state="frozen"/>
      <selection pane="topLeft" activeCell="A1" sqref="A1"/>
      <selection pane="bottomLeft" activeCell="A8" sqref="A8:IV8"/>
    </sheetView>
  </sheetViews>
  <sheetFormatPr defaultColWidth="9.140625" defaultRowHeight="12.75"/>
  <cols>
    <col min="1" max="1" width="5.57421875" style="0" customWidth="1"/>
    <col min="2" max="2" width="4.28125" style="0" customWidth="1"/>
    <col min="3" max="3" width="3.57421875" style="0" customWidth="1"/>
    <col min="4" max="4" width="4.28125" style="0" customWidth="1"/>
    <col min="5" max="5" width="29.7109375" style="0" customWidth="1"/>
    <col min="6" max="6" width="3.8515625" style="0" customWidth="1"/>
    <col min="7" max="7" width="4.00390625" style="0" customWidth="1"/>
    <col min="8" max="8" width="2.8515625" style="0" customWidth="1"/>
    <col min="9" max="9" width="3.7109375" style="0" customWidth="1"/>
    <col min="10" max="10" width="3.00390625" style="0" customWidth="1"/>
    <col min="11" max="13" width="2.8515625" style="0" customWidth="1"/>
    <col min="14" max="14" width="2.57421875" style="0" customWidth="1"/>
    <col min="15" max="15" width="3.7109375" style="0" customWidth="1"/>
    <col min="16" max="16" width="3.57421875" style="0" customWidth="1"/>
    <col min="17" max="17" width="3.00390625" style="0" customWidth="1"/>
    <col min="18" max="18" width="3.28125" style="0" customWidth="1"/>
    <col min="19" max="19" width="3.7109375" style="0" customWidth="1"/>
    <col min="20" max="20" width="3.00390625" style="0" customWidth="1"/>
    <col min="21" max="21" width="4.28125" style="0" customWidth="1"/>
    <col min="22" max="22" width="3.28125" style="0" customWidth="1"/>
    <col min="23" max="23" width="4.00390625" style="0" customWidth="1"/>
    <col min="24" max="24" width="3.421875" style="0" customWidth="1"/>
    <col min="25" max="26" width="3.00390625" style="0" customWidth="1"/>
    <col min="27" max="27" width="4.7109375" style="0" customWidth="1"/>
  </cols>
  <sheetData>
    <row r="1" spans="2:29" ht="118.5" customHeight="1">
      <c r="B1" s="28" t="s">
        <v>1603</v>
      </c>
      <c r="C1" t="s">
        <v>1265</v>
      </c>
      <c r="D1" t="s">
        <v>1604</v>
      </c>
      <c r="E1" s="12" t="s">
        <v>2075</v>
      </c>
      <c r="F1" s="28" t="s">
        <v>1932</v>
      </c>
      <c r="G1" s="1" t="s">
        <v>559</v>
      </c>
      <c r="H1" s="1" t="s">
        <v>585</v>
      </c>
      <c r="I1" s="1" t="s">
        <v>584</v>
      </c>
      <c r="J1" s="1" t="s">
        <v>583</v>
      </c>
      <c r="K1" s="1" t="s">
        <v>582</v>
      </c>
      <c r="L1" s="1" t="s">
        <v>581</v>
      </c>
      <c r="M1" s="1" t="s">
        <v>580</v>
      </c>
      <c r="N1" s="1" t="s">
        <v>579</v>
      </c>
      <c r="O1" s="1" t="s">
        <v>560</v>
      </c>
      <c r="P1" s="1" t="s">
        <v>1798</v>
      </c>
      <c r="Q1" s="1" t="s">
        <v>1797</v>
      </c>
      <c r="R1" s="1" t="s">
        <v>1785</v>
      </c>
      <c r="S1" s="1" t="s">
        <v>1820</v>
      </c>
      <c r="T1" s="1" t="s">
        <v>563</v>
      </c>
      <c r="U1" s="1" t="s">
        <v>572</v>
      </c>
      <c r="V1" s="1" t="s">
        <v>571</v>
      </c>
      <c r="W1" s="1" t="s">
        <v>575</v>
      </c>
      <c r="X1" s="1" t="s">
        <v>576</v>
      </c>
      <c r="Y1" s="1" t="s">
        <v>577</v>
      </c>
      <c r="Z1" s="1" t="s">
        <v>578</v>
      </c>
      <c r="AA1" s="1" t="s">
        <v>553</v>
      </c>
      <c r="AB1" s="1"/>
      <c r="AC1" s="1"/>
    </row>
    <row r="2" spans="1:29" ht="12.75">
      <c r="A2" s="9">
        <f aca="true" t="shared" si="0" ref="A2:A7">G2*U2</f>
        <v>584.4411764705882</v>
      </c>
      <c r="B2">
        <v>155</v>
      </c>
      <c r="C2" s="2">
        <f aca="true" t="shared" si="1" ref="C2:C7">B2/28.349523</f>
        <v>5.467464126292354</v>
      </c>
      <c r="D2" s="2">
        <f aca="true" t="shared" si="2" ref="D2:D7">C2/16</f>
        <v>0.3417165078932721</v>
      </c>
      <c r="E2" s="11" t="s">
        <v>1628</v>
      </c>
      <c r="F2" s="9">
        <v>17</v>
      </c>
      <c r="G2">
        <v>64.1</v>
      </c>
      <c r="H2">
        <v>0</v>
      </c>
      <c r="I2" s="10">
        <v>0</v>
      </c>
      <c r="J2" s="6">
        <v>0</v>
      </c>
      <c r="K2" s="6">
        <v>15.9</v>
      </c>
      <c r="L2" s="6">
        <v>16</v>
      </c>
      <c r="M2" s="6">
        <v>0</v>
      </c>
      <c r="N2" s="6">
        <v>0</v>
      </c>
      <c r="O2" s="2">
        <f aca="true" t="shared" si="3" ref="O2:O7">G2/F2</f>
        <v>3.770588235294117</v>
      </c>
      <c r="P2" s="42">
        <f aca="true" t="shared" si="4" ref="P2:P7">100*4*M2/G2</f>
        <v>0</v>
      </c>
      <c r="Q2" s="9">
        <f aca="true" t="shared" si="5" ref="Q2:Q7">100*9*H2/G2</f>
        <v>0</v>
      </c>
      <c r="R2" s="42">
        <f aca="true" t="shared" si="6" ref="R2:R7">100*(I2*9)/G2</f>
        <v>0</v>
      </c>
      <c r="S2" s="29">
        <f aca="true" t="shared" si="7" ref="S2:S7">100*K2*4/G2</f>
        <v>99.21996879875196</v>
      </c>
      <c r="T2" s="42">
        <f aca="true" t="shared" si="8" ref="T2:T7">100*N2/F2</f>
        <v>0</v>
      </c>
      <c r="U2" s="60">
        <f aca="true" t="shared" si="9" ref="U2:U7">B2/F2</f>
        <v>9.117647058823529</v>
      </c>
      <c r="V2" s="16">
        <f aca="true" t="shared" si="10" ref="V2:V7">U2*M2</f>
        <v>0</v>
      </c>
      <c r="W2" s="9">
        <f aca="true" t="shared" si="11" ref="W2:W7">U2*H2</f>
        <v>0</v>
      </c>
      <c r="X2" s="141">
        <f aca="true" t="shared" si="12" ref="X2:X7">U2*K2</f>
        <v>144.97058823529412</v>
      </c>
      <c r="Y2" s="9">
        <f aca="true" t="shared" si="13" ref="Y2:Y7">N2*U2</f>
        <v>0</v>
      </c>
      <c r="Z2">
        <f aca="true" t="shared" si="14" ref="Z2:Z7">U2*J2</f>
        <v>0</v>
      </c>
      <c r="AA2" s="2">
        <f aca="true" t="shared" si="15" ref="AA2:AA7">I2*U2</f>
        <v>0</v>
      </c>
      <c r="AB2" s="9" t="s">
        <v>2062</v>
      </c>
      <c r="AC2" s="9"/>
    </row>
    <row r="3" spans="1:29" ht="12.75">
      <c r="A3" s="9">
        <f t="shared" si="0"/>
        <v>800</v>
      </c>
      <c r="B3">
        <v>200</v>
      </c>
      <c r="C3" s="2">
        <f t="shared" si="1"/>
        <v>7.054792421022392</v>
      </c>
      <c r="D3" s="2">
        <f t="shared" si="2"/>
        <v>0.4409245263138995</v>
      </c>
      <c r="E3" s="11" t="s">
        <v>636</v>
      </c>
      <c r="F3" s="9">
        <v>15</v>
      </c>
      <c r="G3">
        <v>60</v>
      </c>
      <c r="H3">
        <v>1</v>
      </c>
      <c r="I3" s="10">
        <v>0</v>
      </c>
      <c r="J3" s="6">
        <v>0</v>
      </c>
      <c r="K3" s="6">
        <v>14</v>
      </c>
      <c r="L3" s="6">
        <v>14</v>
      </c>
      <c r="M3" s="6">
        <v>0</v>
      </c>
      <c r="N3" s="6">
        <v>0</v>
      </c>
      <c r="O3" s="2">
        <f t="shared" si="3"/>
        <v>4</v>
      </c>
      <c r="P3" s="42">
        <f t="shared" si="4"/>
        <v>0</v>
      </c>
      <c r="Q3" s="9">
        <f t="shared" si="5"/>
        <v>15</v>
      </c>
      <c r="R3" s="42">
        <f t="shared" si="6"/>
        <v>0</v>
      </c>
      <c r="S3" s="29">
        <f t="shared" si="7"/>
        <v>93.33333333333333</v>
      </c>
      <c r="T3" s="42">
        <f t="shared" si="8"/>
        <v>0</v>
      </c>
      <c r="U3" s="44">
        <f t="shared" si="9"/>
        <v>13.333333333333334</v>
      </c>
      <c r="V3" s="16">
        <f t="shared" si="10"/>
        <v>0</v>
      </c>
      <c r="W3" s="9">
        <f t="shared" si="11"/>
        <v>13.333333333333334</v>
      </c>
      <c r="X3" s="141">
        <f t="shared" si="12"/>
        <v>186.66666666666669</v>
      </c>
      <c r="Y3" s="9">
        <f t="shared" si="13"/>
        <v>0</v>
      </c>
      <c r="Z3">
        <f t="shared" si="14"/>
        <v>0</v>
      </c>
      <c r="AA3" s="2">
        <f t="shared" si="15"/>
        <v>0</v>
      </c>
      <c r="AB3" s="9" t="s">
        <v>2062</v>
      </c>
      <c r="AC3" s="9"/>
    </row>
    <row r="4" spans="1:29" ht="12.75">
      <c r="A4" s="9">
        <f t="shared" si="0"/>
        <v>330</v>
      </c>
      <c r="B4">
        <v>55</v>
      </c>
      <c r="C4" s="2">
        <f t="shared" si="1"/>
        <v>1.9400679157811578</v>
      </c>
      <c r="D4" s="2">
        <f t="shared" si="2"/>
        <v>0.12125424473632236</v>
      </c>
      <c r="E4" s="11" t="s">
        <v>564</v>
      </c>
      <c r="F4" s="9">
        <v>30</v>
      </c>
      <c r="G4">
        <v>180</v>
      </c>
      <c r="H4">
        <v>13</v>
      </c>
      <c r="I4" s="10">
        <v>1.5</v>
      </c>
      <c r="J4">
        <v>0</v>
      </c>
      <c r="K4">
        <v>9</v>
      </c>
      <c r="L4">
        <v>2</v>
      </c>
      <c r="M4">
        <v>6</v>
      </c>
      <c r="N4">
        <v>3</v>
      </c>
      <c r="O4" s="32">
        <f t="shared" si="3"/>
        <v>6</v>
      </c>
      <c r="P4" s="9">
        <f t="shared" si="4"/>
        <v>13.333333333333334</v>
      </c>
      <c r="Q4" s="16">
        <f t="shared" si="5"/>
        <v>65</v>
      </c>
      <c r="R4" s="16">
        <f t="shared" si="6"/>
        <v>7.5</v>
      </c>
      <c r="S4" s="16">
        <f t="shared" si="7"/>
        <v>20</v>
      </c>
      <c r="T4" s="29">
        <f t="shared" si="8"/>
        <v>10</v>
      </c>
      <c r="U4" s="60">
        <f t="shared" si="9"/>
        <v>1.8333333333333333</v>
      </c>
      <c r="V4" s="9">
        <f t="shared" si="10"/>
        <v>11</v>
      </c>
      <c r="W4" s="9">
        <f t="shared" si="11"/>
        <v>23.833333333333332</v>
      </c>
      <c r="X4" s="9">
        <f t="shared" si="12"/>
        <v>16.5</v>
      </c>
      <c r="Y4" s="9">
        <f t="shared" si="13"/>
        <v>5.5</v>
      </c>
      <c r="Z4" s="9">
        <f t="shared" si="14"/>
        <v>0</v>
      </c>
      <c r="AA4" s="2">
        <f t="shared" si="15"/>
        <v>2.75</v>
      </c>
      <c r="AB4" s="9" t="s">
        <v>570</v>
      </c>
      <c r="AC4" s="9"/>
    </row>
    <row r="5" spans="1:28" ht="12.75">
      <c r="A5" s="9">
        <f t="shared" si="0"/>
        <v>836.1290322580645</v>
      </c>
      <c r="B5" s="12">
        <v>108</v>
      </c>
      <c r="C5" s="2">
        <f t="shared" si="1"/>
        <v>3.8095879073520917</v>
      </c>
      <c r="D5" s="2">
        <f t="shared" si="2"/>
        <v>0.23809924420950573</v>
      </c>
      <c r="E5" s="11" t="s">
        <v>539</v>
      </c>
      <c r="F5" s="9">
        <v>31</v>
      </c>
      <c r="G5">
        <v>240</v>
      </c>
      <c r="H5">
        <v>23</v>
      </c>
      <c r="I5" s="10">
        <v>3.5</v>
      </c>
      <c r="J5">
        <v>0</v>
      </c>
      <c r="K5">
        <v>4</v>
      </c>
      <c r="L5">
        <v>1</v>
      </c>
      <c r="M5">
        <v>2</v>
      </c>
      <c r="N5">
        <v>2</v>
      </c>
      <c r="O5" s="32">
        <f t="shared" si="3"/>
        <v>7.741935483870968</v>
      </c>
      <c r="P5" s="42">
        <f t="shared" si="4"/>
        <v>3.3333333333333335</v>
      </c>
      <c r="Q5" s="29">
        <f t="shared" si="5"/>
        <v>86.25</v>
      </c>
      <c r="R5" s="16">
        <f t="shared" si="6"/>
        <v>13.125</v>
      </c>
      <c r="S5" s="16">
        <f t="shared" si="7"/>
        <v>6.666666666666667</v>
      </c>
      <c r="T5" s="9">
        <f t="shared" si="8"/>
        <v>6.451612903225806</v>
      </c>
      <c r="U5" s="60">
        <f t="shared" si="9"/>
        <v>3.4838709677419355</v>
      </c>
      <c r="V5" s="9">
        <f t="shared" si="10"/>
        <v>6.967741935483871</v>
      </c>
      <c r="W5" s="9">
        <f t="shared" si="11"/>
        <v>80.12903225806451</v>
      </c>
      <c r="X5" s="9">
        <f t="shared" si="12"/>
        <v>13.935483870967742</v>
      </c>
      <c r="Y5" s="9">
        <f t="shared" si="13"/>
        <v>6.967741935483871</v>
      </c>
      <c r="Z5">
        <f t="shared" si="14"/>
        <v>0</v>
      </c>
      <c r="AA5" s="2">
        <f t="shared" si="15"/>
        <v>12.193548387096774</v>
      </c>
      <c r="AB5" t="s">
        <v>1594</v>
      </c>
    </row>
    <row r="6" spans="1:29" ht="12.75">
      <c r="A6">
        <f t="shared" si="0"/>
        <v>242.85714285714286</v>
      </c>
      <c r="B6">
        <v>40</v>
      </c>
      <c r="C6" s="2">
        <f t="shared" si="1"/>
        <v>1.4109584842044784</v>
      </c>
      <c r="D6" s="2">
        <f t="shared" si="2"/>
        <v>0.0881849052627799</v>
      </c>
      <c r="E6" s="11" t="s">
        <v>1845</v>
      </c>
      <c r="F6" s="9">
        <v>28</v>
      </c>
      <c r="G6">
        <v>170</v>
      </c>
      <c r="H6">
        <v>13</v>
      </c>
      <c r="I6" s="2">
        <v>3</v>
      </c>
      <c r="J6">
        <v>0</v>
      </c>
      <c r="K6">
        <v>9</v>
      </c>
      <c r="L6">
        <v>2</v>
      </c>
      <c r="M6">
        <v>5</v>
      </c>
      <c r="N6">
        <v>1</v>
      </c>
      <c r="O6" s="32">
        <f t="shared" si="3"/>
        <v>6.071428571428571</v>
      </c>
      <c r="P6" s="9">
        <f t="shared" si="4"/>
        <v>11.764705882352942</v>
      </c>
      <c r="Q6" s="9">
        <f t="shared" si="5"/>
        <v>68.82352941176471</v>
      </c>
      <c r="R6" s="29">
        <f t="shared" si="6"/>
        <v>15.882352941176471</v>
      </c>
      <c r="S6" s="16">
        <f t="shared" si="7"/>
        <v>21.176470588235293</v>
      </c>
      <c r="T6" s="9">
        <f t="shared" si="8"/>
        <v>3.5714285714285716</v>
      </c>
      <c r="U6" s="60">
        <f t="shared" si="9"/>
        <v>1.4285714285714286</v>
      </c>
      <c r="V6" s="9">
        <f t="shared" si="10"/>
        <v>7.142857142857143</v>
      </c>
      <c r="W6" s="9">
        <f t="shared" si="11"/>
        <v>18.571428571428573</v>
      </c>
      <c r="X6" s="9">
        <f t="shared" si="12"/>
        <v>12.857142857142858</v>
      </c>
      <c r="Y6" s="9">
        <f t="shared" si="13"/>
        <v>1.4285714285714286</v>
      </c>
      <c r="Z6">
        <f t="shared" si="14"/>
        <v>0</v>
      </c>
      <c r="AA6" s="2">
        <f t="shared" si="15"/>
        <v>4.285714285714286</v>
      </c>
      <c r="AB6" s="9" t="s">
        <v>528</v>
      </c>
      <c r="AC6" s="9"/>
    </row>
    <row r="7" spans="1:30" ht="12.75">
      <c r="A7" s="9">
        <f t="shared" si="0"/>
        <v>560</v>
      </c>
      <c r="B7">
        <v>196</v>
      </c>
      <c r="C7" s="2">
        <f t="shared" si="1"/>
        <v>6.913696572601944</v>
      </c>
      <c r="D7" s="2">
        <f t="shared" si="2"/>
        <v>0.4321060357876215</v>
      </c>
      <c r="E7" s="11" t="s">
        <v>1936</v>
      </c>
      <c r="F7" s="9">
        <v>28</v>
      </c>
      <c r="G7">
        <v>80</v>
      </c>
      <c r="H7">
        <v>1</v>
      </c>
      <c r="I7" s="6">
        <v>0.5</v>
      </c>
      <c r="J7">
        <v>25</v>
      </c>
      <c r="K7">
        <v>4</v>
      </c>
      <c r="L7">
        <v>3</v>
      </c>
      <c r="M7">
        <v>15</v>
      </c>
      <c r="N7">
        <v>0</v>
      </c>
      <c r="O7" s="2">
        <f t="shared" si="3"/>
        <v>2.857142857142857</v>
      </c>
      <c r="P7" s="29">
        <f t="shared" si="4"/>
        <v>75</v>
      </c>
      <c r="Q7" s="9">
        <f t="shared" si="5"/>
        <v>11.25</v>
      </c>
      <c r="R7" s="16">
        <f t="shared" si="6"/>
        <v>5.625</v>
      </c>
      <c r="S7" s="16">
        <f t="shared" si="7"/>
        <v>20</v>
      </c>
      <c r="T7" s="42">
        <f t="shared" si="8"/>
        <v>0</v>
      </c>
      <c r="U7" s="60">
        <f t="shared" si="9"/>
        <v>7</v>
      </c>
      <c r="V7" s="141">
        <f t="shared" si="10"/>
        <v>105</v>
      </c>
      <c r="W7" s="9">
        <f t="shared" si="11"/>
        <v>7</v>
      </c>
      <c r="X7" s="9">
        <f t="shared" si="12"/>
        <v>28</v>
      </c>
      <c r="Y7" s="9">
        <f t="shared" si="13"/>
        <v>0</v>
      </c>
      <c r="Z7" s="142">
        <f t="shared" si="14"/>
        <v>175</v>
      </c>
      <c r="AA7" s="2">
        <f t="shared" si="15"/>
        <v>3.5</v>
      </c>
      <c r="AB7" s="9" t="s">
        <v>1345</v>
      </c>
      <c r="AC7" s="9"/>
      <c r="AD7" t="s">
        <v>845</v>
      </c>
    </row>
    <row r="8" spans="1:27" ht="12.75">
      <c r="A8" s="9">
        <f>SUM(A2:A7)</f>
        <v>3353.4273515857953</v>
      </c>
      <c r="B8" s="9">
        <f>SUM(B2:B7)</f>
        <v>754</v>
      </c>
      <c r="C8" s="9">
        <f>SUM(C2:C7)</f>
        <v>26.59656742725442</v>
      </c>
      <c r="D8" s="9">
        <f>SUM(D2:D7)</f>
        <v>1.6622854642034013</v>
      </c>
      <c r="E8" s="11" t="s">
        <v>1507</v>
      </c>
      <c r="J8" s="3"/>
      <c r="K8" s="3"/>
      <c r="L8" s="3"/>
      <c r="M8" s="9"/>
      <c r="O8" s="3"/>
      <c r="V8" s="144">
        <f aca="true" t="shared" si="16" ref="V8:AA8">SUM(V2:V7)</f>
        <v>130.110599078341</v>
      </c>
      <c r="W8" s="144">
        <f t="shared" si="16"/>
        <v>142.86712749615975</v>
      </c>
      <c r="X8" s="144">
        <f t="shared" si="16"/>
        <v>402.92988163007135</v>
      </c>
      <c r="Y8" s="9">
        <f t="shared" si="16"/>
        <v>13.8963133640553</v>
      </c>
      <c r="Z8" s="144">
        <f t="shared" si="16"/>
        <v>175</v>
      </c>
      <c r="AA8" s="9">
        <f t="shared" si="16"/>
        <v>22.72926267281106</v>
      </c>
    </row>
    <row r="9" spans="3:28" ht="12.75">
      <c r="C9" s="2"/>
      <c r="D9" s="2"/>
      <c r="E9" s="12"/>
      <c r="F9">
        <v>0.9</v>
      </c>
      <c r="G9" t="s">
        <v>534</v>
      </c>
      <c r="I9" s="143">
        <f>A8/F9</f>
        <v>3726.0303906508834</v>
      </c>
      <c r="J9" t="s">
        <v>536</v>
      </c>
      <c r="L9" s="144">
        <f>V8/F9</f>
        <v>144.56733230926778</v>
      </c>
      <c r="M9" t="s">
        <v>535</v>
      </c>
      <c r="O9">
        <f>Y8/F9</f>
        <v>15.440348182283667</v>
      </c>
      <c r="P9" t="s">
        <v>554</v>
      </c>
      <c r="R9" s="144">
        <f>AA8/F9</f>
        <v>25.2547363031234</v>
      </c>
      <c r="S9" t="s">
        <v>555</v>
      </c>
      <c r="V9" s="35">
        <f>4*V8</f>
        <v>520.442396313364</v>
      </c>
      <c r="W9" s="48">
        <f>9*W8</f>
        <v>1285.8041474654378</v>
      </c>
      <c r="X9" s="146">
        <f>4*X8</f>
        <v>1611.7195265202854</v>
      </c>
      <c r="AA9" s="35">
        <f>9*AA8</f>
        <v>204.56336405529953</v>
      </c>
      <c r="AB9" t="s">
        <v>697</v>
      </c>
    </row>
    <row r="10" spans="2:28" ht="12.75">
      <c r="B10" s="9"/>
      <c r="C10" s="2"/>
      <c r="D10" s="2"/>
      <c r="E10" s="11"/>
      <c r="V10" s="9">
        <f>V9*100/A8</f>
        <v>15.519715853312077</v>
      </c>
      <c r="W10" s="9">
        <f>100*W9/A8</f>
        <v>38.342985031639245</v>
      </c>
      <c r="X10" s="9">
        <f>X9*100/A8</f>
        <v>48.06185903380679</v>
      </c>
      <c r="Y10" s="145">
        <f>100*Y8/A8</f>
        <v>0.41439136462830783</v>
      </c>
      <c r="AA10" s="2">
        <f>100*AA9/A8</f>
        <v>6.100128096067564</v>
      </c>
      <c r="AB10" t="s">
        <v>1786</v>
      </c>
    </row>
    <row r="11" spans="2:11" ht="12.75">
      <c r="B11" s="9"/>
      <c r="C11" s="2"/>
      <c r="D11" s="2"/>
      <c r="E11" s="12"/>
      <c r="K11" s="33" t="s">
        <v>587</v>
      </c>
    </row>
    <row r="12" spans="1:12" ht="12.75">
      <c r="A12" s="93">
        <v>2800</v>
      </c>
      <c r="B12" s="93"/>
      <c r="C12" s="94"/>
      <c r="D12" s="94"/>
      <c r="E12" s="126" t="s">
        <v>1917</v>
      </c>
      <c r="L12" t="s">
        <v>586</v>
      </c>
    </row>
    <row r="13" spans="1:12" ht="12.75">
      <c r="A13" s="93">
        <f>A12-A8</f>
        <v>-553.4273515857953</v>
      </c>
      <c r="B13" s="93"/>
      <c r="C13" s="93"/>
      <c r="D13" s="92"/>
      <c r="E13" s="92" t="s">
        <v>1497</v>
      </c>
      <c r="L13" t="s">
        <v>1781</v>
      </c>
    </row>
    <row r="14" ht="12.75">
      <c r="L14" t="s">
        <v>1796</v>
      </c>
    </row>
    <row r="15" spans="2:12" ht="12.75">
      <c r="B15" s="9"/>
      <c r="C15" s="2"/>
      <c r="D15" s="2"/>
      <c r="E15" s="11"/>
      <c r="L15" s="27" t="s">
        <v>1789</v>
      </c>
    </row>
    <row r="16" spans="1:29" ht="12.75">
      <c r="A16" s="9"/>
      <c r="C16" s="2"/>
      <c r="D16" s="2"/>
      <c r="E16" s="11"/>
      <c r="F16" s="9"/>
      <c r="I16" s="6"/>
      <c r="O16" s="2"/>
      <c r="P16" s="42"/>
      <c r="Q16" s="42"/>
      <c r="R16" s="42"/>
      <c r="S16" s="29"/>
      <c r="T16" s="9"/>
      <c r="U16" s="60"/>
      <c r="V16" s="9"/>
      <c r="W16" s="9"/>
      <c r="X16" s="9"/>
      <c r="Y16" s="9"/>
      <c r="AA16" s="2"/>
      <c r="AB16" s="9"/>
      <c r="AC16" s="9"/>
    </row>
    <row r="17" spans="1:29" ht="12.75">
      <c r="A17" s="9"/>
      <c r="C17" s="2"/>
      <c r="D17" s="2"/>
      <c r="E17" s="11"/>
      <c r="F17" s="9"/>
      <c r="I17" s="6"/>
      <c r="O17" s="2"/>
      <c r="P17" s="16"/>
      <c r="Q17" s="9"/>
      <c r="R17" s="16"/>
      <c r="S17" s="16"/>
      <c r="T17" s="42"/>
      <c r="U17" s="60"/>
      <c r="V17" s="9"/>
      <c r="W17" s="9"/>
      <c r="X17" s="9"/>
      <c r="Y17" s="9"/>
      <c r="AA17" s="2"/>
      <c r="AB17" s="9"/>
      <c r="AC17" s="9"/>
    </row>
    <row r="18" spans="1:29" ht="12.75">
      <c r="A18" s="9"/>
      <c r="C18" s="2"/>
      <c r="D18" s="2"/>
      <c r="E18" s="11"/>
      <c r="F18" s="9"/>
      <c r="I18" s="6"/>
      <c r="O18" s="2"/>
      <c r="P18" s="29"/>
      <c r="Q18" s="9"/>
      <c r="R18" s="16"/>
      <c r="S18" s="16"/>
      <c r="T18" s="42"/>
      <c r="U18" s="60"/>
      <c r="V18" s="9"/>
      <c r="W18" s="9"/>
      <c r="X18" s="9"/>
      <c r="Y18" s="9"/>
      <c r="AA18" s="2"/>
      <c r="AB18" s="9"/>
      <c r="AC18" s="9"/>
    </row>
    <row r="19" spans="1:29" ht="12.75">
      <c r="A19" s="9"/>
      <c r="C19" s="2"/>
      <c r="D19" s="2"/>
      <c r="E19" s="11"/>
      <c r="F19" s="9"/>
      <c r="I19" s="6"/>
      <c r="O19" s="2"/>
      <c r="P19" s="29"/>
      <c r="Q19" s="9"/>
      <c r="R19" s="16"/>
      <c r="S19" s="16"/>
      <c r="T19" s="9"/>
      <c r="U19" s="60"/>
      <c r="V19" s="9"/>
      <c r="W19" s="9"/>
      <c r="X19" s="9"/>
      <c r="Y19" s="9"/>
      <c r="AA19" s="2"/>
      <c r="AB19" s="9"/>
      <c r="AC19" s="9"/>
    </row>
    <row r="20" spans="1:29" ht="12.75">
      <c r="A20" s="9"/>
      <c r="C20" s="2"/>
      <c r="D20" s="2"/>
      <c r="E20" s="11"/>
      <c r="F20" s="9"/>
      <c r="I20" s="6"/>
      <c r="O20" s="2"/>
      <c r="P20" s="9"/>
      <c r="Q20" s="9"/>
      <c r="R20" s="16"/>
      <c r="S20" s="29"/>
      <c r="T20" s="9"/>
      <c r="U20" s="60"/>
      <c r="V20" s="16"/>
      <c r="W20" s="9"/>
      <c r="X20" s="9"/>
      <c r="Y20" s="16"/>
      <c r="AA20" s="2"/>
      <c r="AB20" s="11"/>
      <c r="AC20" s="9"/>
    </row>
    <row r="21" spans="1:29" ht="12.75">
      <c r="A21" s="9"/>
      <c r="C21" s="2"/>
      <c r="D21" s="2"/>
      <c r="E21" s="11"/>
      <c r="F21" s="9"/>
      <c r="I21" s="6"/>
      <c r="O21" s="2"/>
      <c r="P21" s="9"/>
      <c r="Q21" s="9"/>
      <c r="R21" s="16"/>
      <c r="S21" s="16"/>
      <c r="T21" s="9"/>
      <c r="U21" s="60"/>
      <c r="V21" s="16"/>
      <c r="W21" s="9"/>
      <c r="X21" s="9"/>
      <c r="Y21" s="16"/>
      <c r="AA21" s="2"/>
      <c r="AB21" s="11"/>
      <c r="AC21" s="9"/>
    </row>
    <row r="22" spans="1:29" ht="12.75">
      <c r="A22" s="9"/>
      <c r="C22" s="2"/>
      <c r="D22" s="2"/>
      <c r="E22" s="11"/>
      <c r="F22" s="9"/>
      <c r="I22" s="10"/>
      <c r="O22" s="2"/>
      <c r="P22" s="29"/>
      <c r="Q22" s="9"/>
      <c r="R22" s="16"/>
      <c r="S22" s="16"/>
      <c r="T22" s="42"/>
      <c r="U22" s="60"/>
      <c r="V22" s="16"/>
      <c r="W22" s="9"/>
      <c r="X22" s="9"/>
      <c r="Y22" s="9"/>
      <c r="AA22" s="2"/>
      <c r="AB22" s="9"/>
      <c r="AC22" s="9"/>
    </row>
    <row r="23" spans="1:29" ht="12.75">
      <c r="A23" s="9"/>
      <c r="C23" s="2"/>
      <c r="D23" s="2"/>
      <c r="E23" s="11"/>
      <c r="F23" s="9"/>
      <c r="I23" s="10"/>
      <c r="J23" s="6"/>
      <c r="K23" s="6"/>
      <c r="L23" s="6"/>
      <c r="M23" s="6"/>
      <c r="N23" s="6"/>
      <c r="O23" s="2"/>
      <c r="P23" s="16"/>
      <c r="Q23" s="9"/>
      <c r="R23" s="16"/>
      <c r="S23" s="16"/>
      <c r="T23" s="9"/>
      <c r="U23" s="60"/>
      <c r="V23" s="16"/>
      <c r="W23" s="9"/>
      <c r="X23" s="9"/>
      <c r="Y23" s="9"/>
      <c r="AA23" s="2"/>
      <c r="AB23" s="9"/>
      <c r="AC23" s="9"/>
    </row>
    <row r="24" spans="1:29" ht="12.75">
      <c r="A24" s="9"/>
      <c r="C24" s="2"/>
      <c r="D24" s="2"/>
      <c r="E24" s="11"/>
      <c r="F24" s="9"/>
      <c r="I24" s="10"/>
      <c r="J24" s="6"/>
      <c r="K24" s="6"/>
      <c r="L24" s="6"/>
      <c r="M24" s="6"/>
      <c r="N24" s="6"/>
      <c r="O24" s="2"/>
      <c r="P24" s="16"/>
      <c r="Q24" s="9"/>
      <c r="R24" s="29"/>
      <c r="S24" s="16"/>
      <c r="T24" s="9"/>
      <c r="U24" s="60"/>
      <c r="V24" s="16"/>
      <c r="W24" s="9"/>
      <c r="X24" s="9"/>
      <c r="Y24" s="9"/>
      <c r="AA24" s="2"/>
      <c r="AB24" s="9"/>
      <c r="AC24" s="9"/>
    </row>
    <row r="25" spans="1:29" ht="12.75">
      <c r="A25" s="9"/>
      <c r="C25" s="2"/>
      <c r="D25" s="2"/>
      <c r="E25" s="11"/>
      <c r="F25" s="9"/>
      <c r="I25" s="10"/>
      <c r="O25" s="2"/>
      <c r="P25" s="29"/>
      <c r="Q25" s="9"/>
      <c r="R25" s="29"/>
      <c r="S25" s="29"/>
      <c r="T25" s="9"/>
      <c r="U25" s="60"/>
      <c r="V25" s="9"/>
      <c r="W25" s="9"/>
      <c r="X25" s="9"/>
      <c r="Y25" s="9"/>
      <c r="AA25" s="2"/>
      <c r="AB25" s="9"/>
      <c r="AC25" s="9"/>
    </row>
    <row r="26" spans="1:29" ht="12.75">
      <c r="A26" s="9"/>
      <c r="C26" s="2"/>
      <c r="D26" s="2"/>
      <c r="E26" s="11"/>
      <c r="F26" s="9"/>
      <c r="I26" s="10"/>
      <c r="J26" s="6"/>
      <c r="K26" s="6"/>
      <c r="L26" s="6"/>
      <c r="M26" s="6"/>
      <c r="N26" s="6"/>
      <c r="O26" s="2"/>
      <c r="P26" s="16"/>
      <c r="Q26" s="9"/>
      <c r="R26" s="29"/>
      <c r="S26" s="16"/>
      <c r="T26" s="9"/>
      <c r="U26" s="60"/>
      <c r="V26" s="9"/>
      <c r="W26" s="9"/>
      <c r="X26" s="9"/>
      <c r="Y26" s="9"/>
      <c r="AA26" s="2"/>
      <c r="AB26" s="9"/>
      <c r="AC26" s="9"/>
    </row>
    <row r="27" spans="1:29" ht="12.75">
      <c r="A27" s="9"/>
      <c r="C27" s="2"/>
      <c r="D27" s="2"/>
      <c r="E27" s="11"/>
      <c r="F27" s="9"/>
      <c r="I27" s="10"/>
      <c r="J27" s="6"/>
      <c r="K27" s="6"/>
      <c r="L27" s="6"/>
      <c r="M27" s="6"/>
      <c r="N27" s="6"/>
      <c r="O27" s="2"/>
      <c r="P27" s="16"/>
      <c r="Q27" s="9"/>
      <c r="R27" s="42"/>
      <c r="S27" s="16"/>
      <c r="T27" s="9"/>
      <c r="U27" s="60"/>
      <c r="V27" s="9"/>
      <c r="W27" s="9"/>
      <c r="X27" s="9"/>
      <c r="Y27" s="9"/>
      <c r="AA27" s="2"/>
      <c r="AB27" s="9"/>
      <c r="AC27" s="9"/>
    </row>
    <row r="28" spans="1:29" ht="12.75">
      <c r="A28" s="9"/>
      <c r="C28" s="2"/>
      <c r="D28" s="2"/>
      <c r="E28" s="11"/>
      <c r="F28" s="9"/>
      <c r="I28" s="10"/>
      <c r="J28" s="6"/>
      <c r="K28" s="6"/>
      <c r="L28" s="6"/>
      <c r="M28" s="6"/>
      <c r="N28" s="6"/>
      <c r="O28" s="2"/>
      <c r="P28" s="16"/>
      <c r="Q28" s="9"/>
      <c r="R28" s="16"/>
      <c r="S28" s="16"/>
      <c r="T28" s="42"/>
      <c r="U28" s="60"/>
      <c r="V28" s="9"/>
      <c r="W28" s="9"/>
      <c r="X28" s="9"/>
      <c r="Y28" s="9"/>
      <c r="AA28" s="2"/>
      <c r="AB28" s="9"/>
      <c r="AC28" s="9"/>
    </row>
    <row r="29" spans="1:29" ht="12.75">
      <c r="A29" s="9"/>
      <c r="C29" s="2"/>
      <c r="D29" s="2"/>
      <c r="E29" s="11"/>
      <c r="F29" s="9"/>
      <c r="I29" s="10"/>
      <c r="O29" s="2"/>
      <c r="P29" s="9"/>
      <c r="Q29" s="42"/>
      <c r="R29" s="42"/>
      <c r="S29" s="29"/>
      <c r="T29" s="29"/>
      <c r="U29" s="60"/>
      <c r="V29" s="9"/>
      <c r="W29" s="9"/>
      <c r="X29" s="9"/>
      <c r="Y29" s="9"/>
      <c r="AA29" s="2"/>
      <c r="AB29" s="9"/>
      <c r="AC29" s="9"/>
    </row>
    <row r="30" spans="1:29" ht="12.75">
      <c r="A30" s="9"/>
      <c r="C30" s="2"/>
      <c r="D30" s="2"/>
      <c r="E30" s="11"/>
      <c r="F30" s="9"/>
      <c r="I30" s="10"/>
      <c r="N30" s="109"/>
      <c r="O30" s="2"/>
      <c r="P30" s="9"/>
      <c r="Q30" s="9"/>
      <c r="R30" s="42"/>
      <c r="S30" s="46"/>
      <c r="T30" s="29"/>
      <c r="U30" s="60"/>
      <c r="V30" s="9"/>
      <c r="W30" s="9"/>
      <c r="X30" s="9"/>
      <c r="Y30" s="9"/>
      <c r="AA30" s="2"/>
      <c r="AB30" s="9"/>
      <c r="AC30" s="9"/>
    </row>
    <row r="31" spans="1:29" ht="12.75">
      <c r="A31" s="9"/>
      <c r="C31" s="2"/>
      <c r="D31" s="2"/>
      <c r="E31" s="11"/>
      <c r="F31" s="9"/>
      <c r="I31" s="10"/>
      <c r="O31" s="2"/>
      <c r="P31" s="9"/>
      <c r="Q31" s="9"/>
      <c r="R31" s="16"/>
      <c r="S31" s="16"/>
      <c r="T31" s="9"/>
      <c r="U31" s="60"/>
      <c r="V31" s="9"/>
      <c r="W31" s="9"/>
      <c r="X31" s="9"/>
      <c r="Y31" s="9"/>
      <c r="AA31" s="2"/>
      <c r="AB31" s="9"/>
      <c r="AC31" s="9"/>
    </row>
    <row r="32" spans="1:29" ht="12.75">
      <c r="A32" s="9"/>
      <c r="C32" s="2"/>
      <c r="D32" s="2"/>
      <c r="E32" s="11"/>
      <c r="I32" s="10"/>
      <c r="O32" s="2"/>
      <c r="P32" s="16"/>
      <c r="Q32" s="9"/>
      <c r="R32" s="16"/>
      <c r="S32" s="16"/>
      <c r="T32" s="16"/>
      <c r="U32" s="60"/>
      <c r="V32" s="16"/>
      <c r="W32" s="9"/>
      <c r="X32" s="9"/>
      <c r="Y32" s="16"/>
      <c r="AA32" s="2"/>
      <c r="AB32" s="11"/>
      <c r="AC32" s="9"/>
    </row>
    <row r="33" spans="1:29" ht="12.75">
      <c r="A33" s="9"/>
      <c r="C33" s="2"/>
      <c r="D33" s="2"/>
      <c r="E33" s="11"/>
      <c r="F33" s="9"/>
      <c r="I33" s="10"/>
      <c r="O33" s="2"/>
      <c r="P33" s="29"/>
      <c r="Q33" s="9"/>
      <c r="R33" s="29"/>
      <c r="S33" s="16"/>
      <c r="T33" s="29"/>
      <c r="U33" s="60"/>
      <c r="V33" s="16"/>
      <c r="W33" s="9"/>
      <c r="X33" s="9"/>
      <c r="Y33" s="16"/>
      <c r="AA33" s="2"/>
      <c r="AB33" s="11"/>
      <c r="AC33" s="9"/>
    </row>
    <row r="34" spans="1:29" ht="12.75">
      <c r="A34" s="9"/>
      <c r="C34" s="2"/>
      <c r="D34" s="2"/>
      <c r="E34" s="11"/>
      <c r="F34" s="9"/>
      <c r="I34" s="10"/>
      <c r="O34" s="2"/>
      <c r="P34" s="29"/>
      <c r="Q34" s="9"/>
      <c r="R34" s="29"/>
      <c r="S34" s="16"/>
      <c r="T34" s="16"/>
      <c r="U34" s="60"/>
      <c r="V34" s="16"/>
      <c r="W34" s="9"/>
      <c r="X34" s="9"/>
      <c r="Y34" s="16"/>
      <c r="AA34" s="2"/>
      <c r="AB34" s="11"/>
      <c r="AC34" s="9"/>
    </row>
    <row r="35" spans="1:29" ht="12.75">
      <c r="A35" s="9"/>
      <c r="C35" s="2"/>
      <c r="D35" s="2"/>
      <c r="E35" s="11"/>
      <c r="F35" s="9"/>
      <c r="I35" s="10"/>
      <c r="O35" s="2"/>
      <c r="P35" s="29"/>
      <c r="Q35" s="9"/>
      <c r="R35" s="16"/>
      <c r="S35" s="16"/>
      <c r="T35" s="16"/>
      <c r="U35" s="60"/>
      <c r="V35" s="16"/>
      <c r="W35" s="9"/>
      <c r="X35" s="9"/>
      <c r="Y35" s="16"/>
      <c r="AA35" s="2"/>
      <c r="AB35" s="11"/>
      <c r="AC35" s="9"/>
    </row>
    <row r="36" spans="1:29" ht="12.75">
      <c r="A36" s="9"/>
      <c r="B36" s="6"/>
      <c r="C36" s="2"/>
      <c r="D36" s="2"/>
      <c r="E36" s="11"/>
      <c r="F36" s="9"/>
      <c r="I36" s="6"/>
      <c r="O36" s="2"/>
      <c r="P36" s="42"/>
      <c r="Q36" s="9"/>
      <c r="R36" s="16"/>
      <c r="S36" s="29"/>
      <c r="T36" s="42"/>
      <c r="U36" s="60"/>
      <c r="V36" s="9"/>
      <c r="W36" s="9"/>
      <c r="X36" s="9"/>
      <c r="Y36" s="16"/>
      <c r="AA36" s="2"/>
      <c r="AB36" s="9"/>
      <c r="AC36" s="9"/>
    </row>
    <row r="37" spans="1:29" ht="12.75">
      <c r="A37" s="9"/>
      <c r="C37" s="2"/>
      <c r="D37" s="2"/>
      <c r="E37" s="11"/>
      <c r="F37" s="9"/>
      <c r="I37" s="10"/>
      <c r="O37" s="2"/>
      <c r="P37" s="42"/>
      <c r="Q37" s="9"/>
      <c r="R37" s="42"/>
      <c r="S37" s="29"/>
      <c r="T37" s="42"/>
      <c r="U37" s="60"/>
      <c r="V37" s="9"/>
      <c r="W37" s="9"/>
      <c r="X37" s="9"/>
      <c r="Y37" s="9"/>
      <c r="AA37" s="2"/>
      <c r="AB37" s="9"/>
      <c r="AC37" s="9"/>
    </row>
    <row r="38" spans="1:29" ht="12.75">
      <c r="A38" s="9"/>
      <c r="C38" s="2"/>
      <c r="D38" s="2"/>
      <c r="E38" s="11"/>
      <c r="F38" s="9"/>
      <c r="I38" s="10"/>
      <c r="O38" s="2"/>
      <c r="P38" s="29"/>
      <c r="Q38" s="9"/>
      <c r="R38" s="29"/>
      <c r="S38" s="16"/>
      <c r="T38" s="9"/>
      <c r="U38" s="60"/>
      <c r="V38" s="16"/>
      <c r="W38" s="9"/>
      <c r="X38" s="9"/>
      <c r="Y38" s="16"/>
      <c r="AA38" s="2"/>
      <c r="AB38" s="11"/>
      <c r="AC38" s="9"/>
    </row>
    <row r="39" spans="1:29" ht="12.75">
      <c r="A39" s="9"/>
      <c r="C39" s="2"/>
      <c r="D39" s="2"/>
      <c r="E39" s="11"/>
      <c r="F39" s="9"/>
      <c r="I39" s="10"/>
      <c r="O39" s="2"/>
      <c r="P39" s="16"/>
      <c r="Q39" s="9"/>
      <c r="R39" s="29"/>
      <c r="S39" s="16"/>
      <c r="T39" s="9"/>
      <c r="U39" s="60"/>
      <c r="V39" s="16"/>
      <c r="W39" s="9"/>
      <c r="X39" s="9"/>
      <c r="Y39" s="16"/>
      <c r="AA39" s="2"/>
      <c r="AB39" s="11"/>
      <c r="AC39" s="9"/>
    </row>
    <row r="40" spans="1:29" ht="12.75">
      <c r="A40" s="9"/>
      <c r="C40" s="2"/>
      <c r="D40" s="2"/>
      <c r="E40" s="11"/>
      <c r="F40" s="9"/>
      <c r="I40" s="10"/>
      <c r="O40" s="2"/>
      <c r="P40" s="29"/>
      <c r="Q40" s="9"/>
      <c r="R40" s="16"/>
      <c r="S40" s="16"/>
      <c r="T40" s="9"/>
      <c r="U40" s="60"/>
      <c r="V40" s="9"/>
      <c r="W40" s="9"/>
      <c r="X40" s="9"/>
      <c r="Y40" s="9"/>
      <c r="AA40" s="2"/>
      <c r="AB40" s="9"/>
      <c r="AC40" s="9"/>
    </row>
    <row r="41" spans="1:29" ht="12.75">
      <c r="A41" s="9"/>
      <c r="C41" s="2"/>
      <c r="D41" s="2"/>
      <c r="E41" s="11"/>
      <c r="F41" s="9"/>
      <c r="I41" s="10"/>
      <c r="O41" s="2"/>
      <c r="P41" s="29"/>
      <c r="Q41" s="9"/>
      <c r="R41" s="16"/>
      <c r="S41" s="16"/>
      <c r="T41" s="29"/>
      <c r="U41" s="60"/>
      <c r="V41" s="9"/>
      <c r="W41" s="9"/>
      <c r="X41" s="9"/>
      <c r="Y41" s="9"/>
      <c r="AA41" s="2"/>
      <c r="AB41" s="9"/>
      <c r="AC41" s="9"/>
    </row>
    <row r="42" spans="1:29" ht="12.75">
      <c r="A42" s="9"/>
      <c r="C42" s="2"/>
      <c r="D42" s="2"/>
      <c r="E42" s="11"/>
      <c r="F42" s="9"/>
      <c r="I42" s="10"/>
      <c r="O42" s="2"/>
      <c r="P42" s="42"/>
      <c r="Q42" s="9"/>
      <c r="R42" s="16"/>
      <c r="S42" s="16"/>
      <c r="T42" s="9"/>
      <c r="U42" s="60"/>
      <c r="V42" s="9"/>
      <c r="W42" s="9"/>
      <c r="X42" s="9"/>
      <c r="Y42" s="9"/>
      <c r="AA42" s="2"/>
      <c r="AB42" s="9"/>
      <c r="AC42" s="9"/>
    </row>
    <row r="43" spans="1:29" ht="12.75">
      <c r="A43" s="9"/>
      <c r="C43" s="2"/>
      <c r="D43" s="2"/>
      <c r="E43" s="11"/>
      <c r="F43" s="9"/>
      <c r="I43" s="10"/>
      <c r="O43" s="2"/>
      <c r="P43" s="42"/>
      <c r="Q43" s="9"/>
      <c r="R43" s="16"/>
      <c r="S43" s="16"/>
      <c r="T43" s="9"/>
      <c r="U43" s="60"/>
      <c r="V43" s="9"/>
      <c r="W43" s="9"/>
      <c r="X43" s="9"/>
      <c r="Y43" s="9"/>
      <c r="AA43" s="2"/>
      <c r="AB43" s="9"/>
      <c r="AC43" s="9"/>
    </row>
    <row r="44" spans="1:29" ht="12.75">
      <c r="A44" s="9"/>
      <c r="C44" s="2"/>
      <c r="D44" s="2"/>
      <c r="E44" s="11"/>
      <c r="F44" s="9"/>
      <c r="G44" s="33"/>
      <c r="I44" s="44"/>
      <c r="O44" s="2"/>
      <c r="P44" s="42"/>
      <c r="Q44" s="29"/>
      <c r="R44" s="29"/>
      <c r="S44" s="16"/>
      <c r="T44" s="9"/>
      <c r="U44" s="60"/>
      <c r="V44" s="9"/>
      <c r="W44" s="9"/>
      <c r="X44" s="9"/>
      <c r="Y44" s="9"/>
      <c r="AA44" s="2"/>
      <c r="AC44" s="9"/>
    </row>
    <row r="45" spans="1:29" ht="12.75">
      <c r="A45" s="9"/>
      <c r="C45" s="2"/>
      <c r="D45" s="2"/>
      <c r="E45" s="11"/>
      <c r="F45" s="9"/>
      <c r="G45" s="33"/>
      <c r="I45" s="10"/>
      <c r="O45" s="2"/>
      <c r="P45" s="42"/>
      <c r="Q45" s="9"/>
      <c r="R45" s="29"/>
      <c r="S45" s="16"/>
      <c r="T45" s="9"/>
      <c r="U45" s="60"/>
      <c r="V45" s="9"/>
      <c r="W45" s="9"/>
      <c r="X45" s="9"/>
      <c r="Y45" s="9"/>
      <c r="AA45" s="2"/>
      <c r="AC45" s="9"/>
    </row>
    <row r="46" spans="1:29" ht="12.75">
      <c r="A46" s="9"/>
      <c r="C46" s="2"/>
      <c r="D46" s="2"/>
      <c r="E46" s="11"/>
      <c r="F46" s="9"/>
      <c r="I46" s="10"/>
      <c r="O46" s="2"/>
      <c r="P46" s="42"/>
      <c r="Q46" s="9"/>
      <c r="R46" s="29"/>
      <c r="S46" s="16"/>
      <c r="T46" s="42"/>
      <c r="U46" s="60"/>
      <c r="V46" s="9"/>
      <c r="W46" s="9"/>
      <c r="X46" s="9"/>
      <c r="Y46" s="9"/>
      <c r="AA46" s="2"/>
      <c r="AC46" s="9"/>
    </row>
    <row r="47" spans="1:29" ht="12.75">
      <c r="A47" s="9"/>
      <c r="C47" s="2"/>
      <c r="D47" s="2"/>
      <c r="E47" s="11"/>
      <c r="F47" s="9"/>
      <c r="I47" s="16"/>
      <c r="O47" s="32"/>
      <c r="P47" s="42"/>
      <c r="Q47" s="9"/>
      <c r="R47" s="29"/>
      <c r="S47" s="16"/>
      <c r="T47" s="42"/>
      <c r="U47" s="60"/>
      <c r="V47" s="9"/>
      <c r="W47" s="9"/>
      <c r="X47" s="9"/>
      <c r="Y47" s="9"/>
      <c r="AA47" s="2"/>
      <c r="AC47" s="9"/>
    </row>
    <row r="48" spans="1:29" ht="12.75">
      <c r="A48" s="9"/>
      <c r="C48" s="2"/>
      <c r="D48" s="2"/>
      <c r="E48" s="11"/>
      <c r="F48" s="9"/>
      <c r="I48" s="10"/>
      <c r="O48" s="2"/>
      <c r="P48" s="42"/>
      <c r="Q48" s="9"/>
      <c r="R48" s="29"/>
      <c r="S48" s="16"/>
      <c r="T48" s="42"/>
      <c r="U48" s="60"/>
      <c r="V48" s="9"/>
      <c r="W48" s="9"/>
      <c r="X48" s="9"/>
      <c r="Y48" s="9"/>
      <c r="AA48" s="2"/>
      <c r="AC48" s="9"/>
    </row>
    <row r="49" spans="1:29" ht="12.75">
      <c r="A49" s="9"/>
      <c r="C49" s="2"/>
      <c r="D49" s="2"/>
      <c r="E49" s="11"/>
      <c r="F49" s="9"/>
      <c r="I49" s="44"/>
      <c r="O49" s="2"/>
      <c r="P49" s="42"/>
      <c r="Q49" s="9"/>
      <c r="R49" s="29"/>
      <c r="S49" s="16"/>
      <c r="T49" s="9"/>
      <c r="U49" s="60"/>
      <c r="V49" s="9"/>
      <c r="W49" s="9"/>
      <c r="X49" s="9"/>
      <c r="Y49" s="9"/>
      <c r="AA49" s="2"/>
      <c r="AC49" s="9"/>
    </row>
    <row r="50" spans="1:29" ht="12.75">
      <c r="A50" s="9"/>
      <c r="C50" s="2"/>
      <c r="D50" s="2"/>
      <c r="E50" s="11"/>
      <c r="F50" s="9"/>
      <c r="I50" s="10"/>
      <c r="O50" s="2"/>
      <c r="P50" s="9"/>
      <c r="Q50" s="29"/>
      <c r="R50" s="42"/>
      <c r="S50" s="16"/>
      <c r="T50" s="29"/>
      <c r="U50" s="60"/>
      <c r="V50" s="9"/>
      <c r="W50" s="9"/>
      <c r="X50" s="9"/>
      <c r="Y50" s="9"/>
      <c r="AA50" s="2"/>
      <c r="AB50" s="9"/>
      <c r="AC50" s="9"/>
    </row>
    <row r="51" spans="1:29" ht="12.75">
      <c r="A51" s="9"/>
      <c r="C51" s="2"/>
      <c r="D51" s="2"/>
      <c r="E51" s="11"/>
      <c r="F51" s="9"/>
      <c r="I51" s="10"/>
      <c r="O51" s="2"/>
      <c r="P51" s="9"/>
      <c r="Q51" s="29"/>
      <c r="R51" s="42"/>
      <c r="S51" s="16"/>
      <c r="T51" s="29"/>
      <c r="U51" s="60"/>
      <c r="V51" s="9"/>
      <c r="W51" s="9"/>
      <c r="X51" s="9"/>
      <c r="Y51" s="9"/>
      <c r="AA51" s="2"/>
      <c r="AB51" s="9"/>
      <c r="AC51" s="9"/>
    </row>
    <row r="52" spans="1:29" ht="12.75">
      <c r="A52" s="9"/>
      <c r="C52" s="2"/>
      <c r="D52" s="2"/>
      <c r="E52" s="11"/>
      <c r="F52" s="9"/>
      <c r="I52" s="10"/>
      <c r="O52" s="2"/>
      <c r="P52" s="9"/>
      <c r="Q52" s="29"/>
      <c r="R52" s="42"/>
      <c r="S52" s="16"/>
      <c r="T52" s="29"/>
      <c r="U52" s="60"/>
      <c r="V52" s="9"/>
      <c r="W52" s="9"/>
      <c r="X52" s="9"/>
      <c r="Y52" s="9"/>
      <c r="AA52" s="2"/>
      <c r="AB52" s="9"/>
      <c r="AC52" s="9"/>
    </row>
    <row r="53" spans="1:29" ht="12.75">
      <c r="A53" s="9"/>
      <c r="C53" s="2"/>
      <c r="D53" s="2"/>
      <c r="E53" s="11"/>
      <c r="F53" s="9"/>
      <c r="I53" s="10"/>
      <c r="O53" s="10"/>
      <c r="P53" s="9"/>
      <c r="Q53" s="29"/>
      <c r="R53" s="16"/>
      <c r="S53" s="16"/>
      <c r="T53" s="16"/>
      <c r="U53" s="60"/>
      <c r="V53" s="9"/>
      <c r="W53" s="9"/>
      <c r="X53" s="9"/>
      <c r="Y53" s="9"/>
      <c r="Z53" s="9"/>
      <c r="AA53" s="2"/>
      <c r="AB53" s="9"/>
      <c r="AC53" s="9"/>
    </row>
    <row r="54" spans="1:29" ht="12.75">
      <c r="A54" s="9"/>
      <c r="B54" s="9"/>
      <c r="C54" s="2"/>
      <c r="D54" s="2"/>
      <c r="E54" s="11"/>
      <c r="F54" s="9"/>
      <c r="I54" s="10"/>
      <c r="O54" s="10"/>
      <c r="P54" s="42"/>
      <c r="Q54" s="16"/>
      <c r="R54" s="29"/>
      <c r="S54" s="16"/>
      <c r="T54" s="16"/>
      <c r="U54" s="60"/>
      <c r="V54" s="16"/>
      <c r="W54" s="9"/>
      <c r="X54" s="9"/>
      <c r="Y54" s="16"/>
      <c r="AA54" s="2"/>
      <c r="AB54" s="9"/>
      <c r="AC54" s="9"/>
    </row>
    <row r="55" spans="1:29" ht="12.75">
      <c r="A55" s="9"/>
      <c r="B55" s="9"/>
      <c r="C55" s="2"/>
      <c r="D55" s="2"/>
      <c r="E55" s="11"/>
      <c r="F55" s="9"/>
      <c r="I55" s="10"/>
      <c r="O55" s="10"/>
      <c r="P55" s="42"/>
      <c r="Q55" s="16"/>
      <c r="R55" s="29"/>
      <c r="S55" s="16"/>
      <c r="T55" s="16"/>
      <c r="U55" s="60"/>
      <c r="V55" s="16"/>
      <c r="W55" s="9"/>
      <c r="X55" s="9"/>
      <c r="Y55" s="16"/>
      <c r="AA55" s="2"/>
      <c r="AB55" s="9"/>
      <c r="AC55" s="9"/>
    </row>
    <row r="56" spans="1:29" ht="12.75">
      <c r="A56" s="9"/>
      <c r="B56" s="9"/>
      <c r="C56" s="2"/>
      <c r="D56" s="2"/>
      <c r="E56" s="11"/>
      <c r="F56" s="9"/>
      <c r="I56" s="10"/>
      <c r="O56" s="10"/>
      <c r="P56" s="42"/>
      <c r="Q56" s="16"/>
      <c r="R56" s="29"/>
      <c r="S56" s="16"/>
      <c r="T56" s="16"/>
      <c r="U56" s="60"/>
      <c r="V56" s="16"/>
      <c r="W56" s="9"/>
      <c r="X56" s="9"/>
      <c r="Y56" s="16"/>
      <c r="AA56" s="2"/>
      <c r="AB56" s="9"/>
      <c r="AC56" s="9"/>
    </row>
    <row r="57" spans="1:29" ht="12.75">
      <c r="A57" s="9"/>
      <c r="B57" s="9"/>
      <c r="C57" s="2"/>
      <c r="D57" s="2"/>
      <c r="E57" s="11"/>
      <c r="F57" s="9"/>
      <c r="I57" s="10"/>
      <c r="O57" s="10"/>
      <c r="P57" s="42"/>
      <c r="Q57" s="16"/>
      <c r="R57" s="16"/>
      <c r="S57" s="16"/>
      <c r="T57" s="16"/>
      <c r="U57" s="60"/>
      <c r="V57" s="16"/>
      <c r="W57" s="9"/>
      <c r="X57" s="9"/>
      <c r="Y57" s="16"/>
      <c r="AA57" s="2"/>
      <c r="AB57" s="9"/>
      <c r="AC57" s="9"/>
    </row>
    <row r="58" spans="1:29" ht="12.75">
      <c r="A58" s="9"/>
      <c r="C58" s="2"/>
      <c r="D58" s="2"/>
      <c r="E58" s="11"/>
      <c r="F58" s="9"/>
      <c r="I58" s="10"/>
      <c r="O58" s="32"/>
      <c r="P58" s="9"/>
      <c r="Q58" s="29"/>
      <c r="R58" s="29"/>
      <c r="S58" s="16"/>
      <c r="T58" s="9"/>
      <c r="U58" s="60"/>
      <c r="V58" s="9"/>
      <c r="W58" s="9"/>
      <c r="X58" s="9"/>
      <c r="Y58" s="9"/>
      <c r="AA58" s="2"/>
      <c r="AC58" s="9"/>
    </row>
    <row r="59" spans="1:29" ht="12.75">
      <c r="A59" s="9"/>
      <c r="C59" s="2"/>
      <c r="D59" s="2"/>
      <c r="E59" s="11"/>
      <c r="F59" s="9"/>
      <c r="I59" s="10"/>
      <c r="O59" s="32"/>
      <c r="P59" s="42"/>
      <c r="Q59" s="29"/>
      <c r="R59" s="29"/>
      <c r="S59" s="16"/>
      <c r="T59" s="29"/>
      <c r="U59" s="60"/>
      <c r="V59" s="9"/>
      <c r="W59" s="9"/>
      <c r="X59" s="9"/>
      <c r="Y59" s="9"/>
      <c r="AA59" s="2"/>
      <c r="AB59" s="9"/>
      <c r="AC59" s="9"/>
    </row>
    <row r="60" spans="1:29" ht="12.75">
      <c r="A60" s="9"/>
      <c r="C60" s="2"/>
      <c r="D60" s="2"/>
      <c r="E60" s="11"/>
      <c r="F60" s="9"/>
      <c r="I60" s="10"/>
      <c r="O60" s="32"/>
      <c r="P60" s="42"/>
      <c r="Q60" s="29"/>
      <c r="R60" s="16"/>
      <c r="S60" s="16"/>
      <c r="T60" s="9"/>
      <c r="U60" s="60"/>
      <c r="V60" s="9"/>
      <c r="W60" s="9"/>
      <c r="X60" s="9"/>
      <c r="Y60" s="9"/>
      <c r="AA60" s="2"/>
      <c r="AB60" s="9"/>
      <c r="AC60" s="9"/>
    </row>
    <row r="61" spans="1:27" ht="12.75">
      <c r="A61" s="9"/>
      <c r="B61" s="12"/>
      <c r="C61" s="2"/>
      <c r="D61" s="2"/>
      <c r="E61" s="11"/>
      <c r="F61" s="9"/>
      <c r="I61" s="10"/>
      <c r="O61" s="32"/>
      <c r="P61" s="42"/>
      <c r="Q61" s="29"/>
      <c r="R61" s="16"/>
      <c r="S61" s="16"/>
      <c r="T61" s="9"/>
      <c r="U61" s="60"/>
      <c r="V61" s="9"/>
      <c r="W61" s="9"/>
      <c r="X61" s="9"/>
      <c r="Y61" s="9"/>
      <c r="AA61" s="2"/>
    </row>
    <row r="62" spans="1:27" ht="12.75">
      <c r="A62" s="9"/>
      <c r="B62" s="12"/>
      <c r="C62" s="2"/>
      <c r="D62" s="2"/>
      <c r="E62" s="11"/>
      <c r="F62" s="9"/>
      <c r="I62" s="10"/>
      <c r="O62" s="32"/>
      <c r="P62" s="42"/>
      <c r="Q62" s="29"/>
      <c r="R62" s="16"/>
      <c r="S62" s="16"/>
      <c r="T62" s="9"/>
      <c r="U62" s="60"/>
      <c r="V62" s="9"/>
      <c r="W62" s="9"/>
      <c r="X62" s="9"/>
      <c r="Y62" s="9"/>
      <c r="AA62" s="2"/>
    </row>
    <row r="63" spans="1:29" ht="12.75">
      <c r="A63" s="9"/>
      <c r="C63" s="2"/>
      <c r="D63" s="2"/>
      <c r="E63" s="11"/>
      <c r="F63" s="9"/>
      <c r="I63" s="10"/>
      <c r="O63" s="32"/>
      <c r="P63" s="42"/>
      <c r="Q63" s="29"/>
      <c r="R63" s="16"/>
      <c r="S63" s="16"/>
      <c r="T63" s="9"/>
      <c r="U63" s="60"/>
      <c r="V63" s="9"/>
      <c r="W63" s="9"/>
      <c r="X63" s="9"/>
      <c r="Y63" s="9"/>
      <c r="AA63" s="2"/>
      <c r="AB63" s="9"/>
      <c r="AC63" s="9"/>
    </row>
    <row r="64" spans="1:29" ht="12.75">
      <c r="A64" s="9"/>
      <c r="C64" s="2"/>
      <c r="D64" s="2"/>
      <c r="E64" s="11"/>
      <c r="F64" s="9"/>
      <c r="I64" s="10"/>
      <c r="O64" s="32"/>
      <c r="P64" s="42"/>
      <c r="Q64" s="29"/>
      <c r="R64" s="16"/>
      <c r="S64" s="16"/>
      <c r="T64" s="9"/>
      <c r="U64" s="60"/>
      <c r="V64" s="9"/>
      <c r="W64" s="9"/>
      <c r="X64" s="9"/>
      <c r="Y64" s="9"/>
      <c r="AA64" s="2"/>
      <c r="AB64" s="9"/>
      <c r="AC64" s="9"/>
    </row>
    <row r="65" spans="1:29" ht="12.75">
      <c r="A65" s="9"/>
      <c r="C65" s="2"/>
      <c r="D65" s="2"/>
      <c r="E65" s="11"/>
      <c r="F65" s="9"/>
      <c r="I65" s="10"/>
      <c r="O65" s="32"/>
      <c r="P65" s="9"/>
      <c r="Q65" s="9"/>
      <c r="R65" s="16"/>
      <c r="S65" s="16"/>
      <c r="T65" s="9"/>
      <c r="U65" s="60"/>
      <c r="V65" s="9"/>
      <c r="W65" s="9"/>
      <c r="X65" s="9"/>
      <c r="Y65" s="9"/>
      <c r="Z65" s="9"/>
      <c r="AA65" s="2"/>
      <c r="AB65" s="9"/>
      <c r="AC65" s="9"/>
    </row>
    <row r="66" spans="1:28" ht="12.75">
      <c r="A66" s="9"/>
      <c r="B66" s="12"/>
      <c r="C66" s="2"/>
      <c r="D66" s="2"/>
      <c r="E66" s="11"/>
      <c r="F66" s="9"/>
      <c r="I66" s="10"/>
      <c r="J66" s="6"/>
      <c r="K66" s="6"/>
      <c r="L66" s="6"/>
      <c r="M66" s="6"/>
      <c r="N66" s="6"/>
      <c r="O66" s="44"/>
      <c r="P66" s="42"/>
      <c r="Q66" s="42"/>
      <c r="R66" s="42"/>
      <c r="S66" s="46"/>
      <c r="T66" s="35"/>
      <c r="U66" s="60"/>
      <c r="V66" s="35"/>
      <c r="W66" s="35"/>
      <c r="X66" s="35"/>
      <c r="Y66" s="35"/>
      <c r="Z66" s="34"/>
      <c r="AA66" s="44"/>
      <c r="AB66" s="9"/>
    </row>
    <row r="67" spans="15:21" ht="12.75">
      <c r="O67" s="2"/>
      <c r="U67" s="60"/>
    </row>
    <row r="68" ht="12.75">
      <c r="U68" s="60"/>
    </row>
    <row r="69" ht="12.75">
      <c r="U69" s="60"/>
    </row>
    <row r="70" spans="1:29" ht="12.75">
      <c r="A70" s="9"/>
      <c r="C70" s="2"/>
      <c r="D70" s="2"/>
      <c r="E70" s="11"/>
      <c r="F70" s="9"/>
      <c r="I70" s="6"/>
      <c r="J70" s="6"/>
      <c r="K70" s="6"/>
      <c r="L70" s="6"/>
      <c r="M70" s="6"/>
      <c r="N70" s="6"/>
      <c r="O70" s="2"/>
      <c r="P70" s="29"/>
      <c r="Q70" s="9"/>
      <c r="R70" s="42"/>
      <c r="S70" s="16"/>
      <c r="T70" s="9"/>
      <c r="U70" s="60"/>
      <c r="V70" s="16"/>
      <c r="W70" s="9"/>
      <c r="X70" s="9"/>
      <c r="Y70" s="9"/>
      <c r="AA70" s="2"/>
      <c r="AC70" s="9"/>
    </row>
    <row r="71" spans="1:27" ht="12.75">
      <c r="A71" s="9"/>
      <c r="C71" s="2"/>
      <c r="D71" s="2"/>
      <c r="O71" s="2"/>
      <c r="P71" s="16"/>
      <c r="Q71" s="9"/>
      <c r="R71" s="16"/>
      <c r="S71" s="29"/>
      <c r="T71" s="9"/>
      <c r="U71" s="60"/>
      <c r="V71" s="16"/>
      <c r="W71" s="9"/>
      <c r="X71" s="9"/>
      <c r="Y71" s="9"/>
      <c r="AA71" s="2"/>
    </row>
    <row r="72" spans="1:27" ht="12.75">
      <c r="A72" s="9"/>
      <c r="C72" s="2"/>
      <c r="D72" s="2"/>
      <c r="O72" s="2"/>
      <c r="P72" s="16"/>
      <c r="Q72" s="9"/>
      <c r="R72" s="29"/>
      <c r="S72" s="16"/>
      <c r="T72" s="9"/>
      <c r="U72" s="60"/>
      <c r="V72" s="16"/>
      <c r="W72" s="9"/>
      <c r="X72" s="9"/>
      <c r="Y72" s="9"/>
      <c r="AA72" s="2"/>
    </row>
    <row r="76" spans="1:8" ht="12.75">
      <c r="A76" s="2"/>
      <c r="B76" s="11"/>
      <c r="H76" s="33"/>
    </row>
    <row r="80" ht="12.75">
      <c r="I80" s="27"/>
    </row>
  </sheetData>
  <printOptions/>
  <pageMargins left="0.75" right="0.75" top="1" bottom="1" header="0.5" footer="0.5"/>
  <pageSetup horizontalDpi="300" verticalDpi="300" orientation="portrait" r:id="rId1"/>
  <ignoredErrors>
    <ignoredError sqref="W9" formula="1"/>
  </ignoredErrors>
</worksheet>
</file>

<file path=xl/worksheets/sheet4.xml><?xml version="1.0" encoding="utf-8"?>
<worksheet xmlns="http://schemas.openxmlformats.org/spreadsheetml/2006/main" xmlns:r="http://schemas.openxmlformats.org/officeDocument/2006/relationships">
  <dimension ref="A1:AJ155"/>
  <sheetViews>
    <sheetView zoomScaleSheetLayoutView="100" workbookViewId="0" topLeftCell="A1">
      <pane ySplit="1" topLeftCell="BM2" activePane="bottomLeft" state="frozen"/>
      <selection pane="topLeft" activeCell="A1" sqref="A1"/>
      <selection pane="bottomLeft" activeCell="D38" sqref="D38:G38"/>
    </sheetView>
  </sheetViews>
  <sheetFormatPr defaultColWidth="9.140625" defaultRowHeight="12.75"/>
  <cols>
    <col min="1" max="1" width="10.57421875" style="0" customWidth="1"/>
    <col min="2" max="2" width="10.421875" style="0" customWidth="1"/>
    <col min="3" max="3" width="10.140625" style="0" customWidth="1"/>
    <col min="4" max="4" width="8.7109375" style="0" bestFit="1" customWidth="1"/>
    <col min="5" max="5" width="5.00390625" style="0" customWidth="1"/>
    <col min="6" max="6" width="5.421875" style="0" customWidth="1"/>
    <col min="9" max="9" width="8.57421875" style="0" customWidth="1"/>
  </cols>
  <sheetData>
    <row r="1" spans="1:29" ht="12.75" customHeight="1" thickBot="1">
      <c r="A1" s="54"/>
      <c r="B1" s="65"/>
      <c r="C1" s="159"/>
      <c r="D1" s="103">
        <v>89</v>
      </c>
      <c r="E1" s="55">
        <f>D1/28.349523</f>
        <v>3.1393826273549643</v>
      </c>
      <c r="F1" s="55">
        <f>E1/16</f>
        <v>0.19621141420968527</v>
      </c>
      <c r="G1" s="132" t="s">
        <v>1908</v>
      </c>
      <c r="H1" s="92"/>
      <c r="I1" s="92"/>
      <c r="J1" s="92"/>
      <c r="K1" s="92"/>
      <c r="L1" s="92"/>
      <c r="M1" s="92"/>
      <c r="N1" s="92"/>
      <c r="O1" s="92"/>
      <c r="P1" s="92"/>
      <c r="Q1" s="92"/>
      <c r="R1" s="92"/>
      <c r="S1" s="92"/>
      <c r="T1" s="92"/>
      <c r="U1" s="92"/>
      <c r="V1" s="92"/>
      <c r="W1" s="92"/>
      <c r="X1" s="92"/>
      <c r="Y1" s="92"/>
      <c r="Z1" s="92"/>
      <c r="AA1" s="92"/>
      <c r="AB1" s="92"/>
      <c r="AC1" s="92"/>
    </row>
    <row r="2" spans="1:21" ht="12.75" customHeight="1" thickBot="1">
      <c r="A2" s="54"/>
      <c r="B2" s="65"/>
      <c r="C2" s="159"/>
      <c r="D2" s="103">
        <v>3</v>
      </c>
      <c r="E2" s="55">
        <f>D2/28.349523</f>
        <v>0.10582188631533589</v>
      </c>
      <c r="F2" s="54"/>
      <c r="G2" s="238" t="s">
        <v>2081</v>
      </c>
      <c r="H2" s="92"/>
      <c r="I2" s="92"/>
      <c r="J2" s="92"/>
      <c r="K2" s="92"/>
      <c r="L2" s="92"/>
      <c r="M2" s="92"/>
      <c r="N2" s="92"/>
      <c r="O2" s="92"/>
      <c r="P2" s="92"/>
      <c r="Q2" s="92"/>
      <c r="R2" s="92"/>
      <c r="S2" s="92"/>
      <c r="T2" s="92"/>
      <c r="U2" s="92"/>
    </row>
    <row r="3" spans="1:29" ht="12.75" customHeight="1" thickBot="1">
      <c r="A3" s="54"/>
      <c r="B3" s="207"/>
      <c r="C3" s="159"/>
      <c r="D3" s="103">
        <v>5</v>
      </c>
      <c r="E3" s="55"/>
      <c r="F3" s="55"/>
      <c r="G3" s="241" t="s">
        <v>971</v>
      </c>
      <c r="H3" s="134"/>
      <c r="I3" s="92"/>
      <c r="J3" s="134"/>
      <c r="K3" s="92"/>
      <c r="L3" s="92"/>
      <c r="M3" s="92"/>
      <c r="N3" s="92"/>
      <c r="O3" s="92"/>
      <c r="P3" s="92"/>
      <c r="Q3" s="92"/>
      <c r="R3" s="92"/>
      <c r="S3" s="92"/>
      <c r="T3" s="92"/>
      <c r="U3" s="92"/>
      <c r="V3" s="92"/>
      <c r="W3" s="92"/>
      <c r="X3" s="92"/>
      <c r="Y3" s="92"/>
      <c r="Z3" s="92"/>
      <c r="AA3" s="92"/>
      <c r="AB3" s="92"/>
      <c r="AC3" s="92"/>
    </row>
    <row r="4" spans="1:29" ht="12.75" customHeight="1" thickBot="1">
      <c r="A4" s="207"/>
      <c r="B4" s="159"/>
      <c r="C4" s="159"/>
      <c r="D4" s="197">
        <v>3</v>
      </c>
      <c r="E4" s="69"/>
      <c r="F4" s="69"/>
      <c r="G4" s="246" t="s">
        <v>1438</v>
      </c>
      <c r="H4" s="134"/>
      <c r="I4" s="92"/>
      <c r="J4" s="134"/>
      <c r="K4" s="92"/>
      <c r="L4" s="92"/>
      <c r="M4" s="92"/>
      <c r="N4" s="92"/>
      <c r="O4" s="92"/>
      <c r="P4" s="92"/>
      <c r="Q4" s="92"/>
      <c r="R4" s="92"/>
      <c r="S4" s="92"/>
      <c r="T4" s="92"/>
      <c r="U4" s="92"/>
      <c r="V4" s="92"/>
      <c r="W4" s="92"/>
      <c r="X4" s="92"/>
      <c r="Y4" s="92"/>
      <c r="Z4" s="92"/>
      <c r="AA4" s="92"/>
      <c r="AB4" s="92"/>
      <c r="AC4" s="92"/>
    </row>
    <row r="5" spans="1:29" ht="12.75" customHeight="1" thickBot="1">
      <c r="A5" s="54"/>
      <c r="B5" s="65"/>
      <c r="C5" s="159"/>
      <c r="D5" s="103">
        <v>147</v>
      </c>
      <c r="E5" s="55">
        <f>D5/28.349523</f>
        <v>5.185272429451458</v>
      </c>
      <c r="F5" s="55">
        <f>E5/16</f>
        <v>0.3240795268407161</v>
      </c>
      <c r="G5" s="238" t="s">
        <v>2124</v>
      </c>
      <c r="H5" s="134"/>
      <c r="I5" s="92"/>
      <c r="J5" s="134"/>
      <c r="K5" s="92"/>
      <c r="L5" s="92"/>
      <c r="M5" s="92"/>
      <c r="N5" s="92"/>
      <c r="O5" s="92"/>
      <c r="P5" s="92"/>
      <c r="Q5" s="92"/>
      <c r="R5" s="92"/>
      <c r="S5" s="92"/>
      <c r="T5" s="92"/>
      <c r="U5" s="92"/>
      <c r="V5" s="92"/>
      <c r="W5" s="92"/>
      <c r="X5" s="92"/>
      <c r="Y5" s="92"/>
      <c r="Z5" s="92"/>
      <c r="AA5" s="92"/>
      <c r="AB5" s="92"/>
      <c r="AC5" s="92"/>
    </row>
    <row r="6" spans="1:9" ht="12.75" customHeight="1">
      <c r="A6" s="54"/>
      <c r="B6" s="66"/>
      <c r="C6" s="66" t="s">
        <v>1384</v>
      </c>
      <c r="D6" s="57">
        <v>47</v>
      </c>
      <c r="E6" s="55">
        <f>D6/28.349523</f>
        <v>1.6578762189402623</v>
      </c>
      <c r="F6" s="55">
        <f>E6/16</f>
        <v>0.10361726368376639</v>
      </c>
      <c r="G6" s="132" t="s">
        <v>505</v>
      </c>
      <c r="H6" s="134"/>
      <c r="I6" s="92"/>
    </row>
    <row r="7" spans="1:29" ht="12.75" customHeight="1">
      <c r="A7" s="172"/>
      <c r="B7" s="155"/>
      <c r="C7" s="155" t="s">
        <v>479</v>
      </c>
      <c r="D7" s="284">
        <v>132</v>
      </c>
      <c r="E7" s="179">
        <f>D7/28.349523</f>
        <v>4.6561629978747785</v>
      </c>
      <c r="F7" s="179">
        <f>E7/16</f>
        <v>0.29101018736717366</v>
      </c>
      <c r="G7" s="4" t="s">
        <v>1907</v>
      </c>
      <c r="H7" s="134"/>
      <c r="I7" s="92"/>
      <c r="J7" s="92"/>
      <c r="K7" s="92"/>
      <c r="L7" s="92"/>
      <c r="M7" s="92"/>
      <c r="N7" s="92"/>
      <c r="O7" s="92"/>
      <c r="P7" s="92"/>
      <c r="Q7" s="92"/>
      <c r="R7" s="92"/>
      <c r="S7" s="92"/>
      <c r="T7" s="92"/>
      <c r="U7" s="92"/>
      <c r="V7" s="92"/>
      <c r="W7" s="92"/>
      <c r="X7" s="92"/>
      <c r="Y7" s="92"/>
      <c r="Z7" s="92"/>
      <c r="AA7" s="92"/>
      <c r="AB7" s="92"/>
      <c r="AC7" s="92"/>
    </row>
    <row r="8" spans="1:29" ht="12.75" customHeight="1">
      <c r="A8" s="54"/>
      <c r="B8" s="66"/>
      <c r="C8" s="66" t="s">
        <v>2009</v>
      </c>
      <c r="D8" s="57">
        <v>20</v>
      </c>
      <c r="E8" s="55"/>
      <c r="F8" s="55"/>
      <c r="G8" s="238" t="s">
        <v>891</v>
      </c>
      <c r="H8" s="92"/>
      <c r="I8" s="92"/>
      <c r="J8" s="92"/>
      <c r="K8" s="92"/>
      <c r="L8" s="92"/>
      <c r="M8" s="92"/>
      <c r="N8" s="92"/>
      <c r="O8" s="92"/>
      <c r="P8" s="92"/>
      <c r="Q8" s="92"/>
      <c r="R8" s="92"/>
      <c r="S8" s="92"/>
      <c r="T8" s="92"/>
      <c r="U8" s="92"/>
      <c r="V8" s="92"/>
      <c r="W8" s="92"/>
      <c r="X8" s="92"/>
      <c r="Y8" s="92"/>
      <c r="Z8" s="92"/>
      <c r="AA8" s="92"/>
      <c r="AB8" s="92"/>
      <c r="AC8" s="92"/>
    </row>
    <row r="9" spans="1:29" ht="12.75" customHeight="1">
      <c r="A9" s="54"/>
      <c r="B9" s="66"/>
      <c r="C9" s="66" t="s">
        <v>449</v>
      </c>
      <c r="D9" s="61">
        <v>120</v>
      </c>
      <c r="E9" s="86">
        <f>D9/28.349523</f>
        <v>4.232875452613436</v>
      </c>
      <c r="F9" s="55">
        <f>E9/16</f>
        <v>0.2645547157883397</v>
      </c>
      <c r="G9" s="236" t="s">
        <v>2096</v>
      </c>
      <c r="H9" s="92"/>
      <c r="I9" s="92"/>
      <c r="J9" s="92"/>
      <c r="K9" s="92"/>
      <c r="L9" s="92"/>
      <c r="M9" s="92"/>
      <c r="N9" s="92"/>
      <c r="O9" s="92"/>
      <c r="P9" s="92"/>
      <c r="Q9" s="92"/>
      <c r="R9" s="92"/>
      <c r="S9" s="92"/>
      <c r="T9" s="92"/>
      <c r="U9" s="92"/>
      <c r="V9" s="92"/>
      <c r="W9" s="92"/>
      <c r="X9" s="92"/>
      <c r="Y9" s="92"/>
      <c r="Z9" s="92"/>
      <c r="AA9" s="92"/>
      <c r="AB9" s="92"/>
      <c r="AC9" s="92"/>
    </row>
    <row r="10" spans="1:29" ht="12.75" customHeight="1">
      <c r="A10" s="54"/>
      <c r="B10" s="66"/>
      <c r="C10" s="66" t="s">
        <v>449</v>
      </c>
      <c r="D10" s="57">
        <v>1331</v>
      </c>
      <c r="E10" s="55">
        <f>D10/28.349523</f>
        <v>46.94964356190402</v>
      </c>
      <c r="F10" s="55">
        <f>E10/16</f>
        <v>2.934352722619001</v>
      </c>
      <c r="G10" s="132" t="s">
        <v>110</v>
      </c>
      <c r="H10" s="92"/>
      <c r="I10" s="92"/>
      <c r="J10" s="134">
        <f>F9+F10</f>
        <v>3.198907438407341</v>
      </c>
      <c r="K10" s="93" t="s">
        <v>2097</v>
      </c>
      <c r="L10" s="92"/>
      <c r="M10" s="92"/>
      <c r="N10" s="92"/>
      <c r="O10" s="92"/>
      <c r="P10" s="92"/>
      <c r="Q10" s="92"/>
      <c r="R10" s="92"/>
      <c r="S10" s="92"/>
      <c r="T10" s="92"/>
      <c r="U10" s="92"/>
      <c r="V10" s="92"/>
      <c r="W10" s="92"/>
      <c r="X10" s="92"/>
      <c r="Y10" s="92"/>
      <c r="Z10" s="92"/>
      <c r="AA10" s="92"/>
      <c r="AB10" s="92"/>
      <c r="AC10" s="92"/>
    </row>
    <row r="11" spans="1:29" ht="12.75" customHeight="1">
      <c r="A11" s="54"/>
      <c r="B11" s="66"/>
      <c r="C11" s="66" t="s">
        <v>1775</v>
      </c>
      <c r="D11" s="57">
        <v>10</v>
      </c>
      <c r="E11" s="55">
        <f>D11/28.349523</f>
        <v>0.3527396210511196</v>
      </c>
      <c r="F11" s="55"/>
      <c r="G11" s="132" t="s">
        <v>1753</v>
      </c>
      <c r="H11" s="92"/>
      <c r="I11" s="92"/>
      <c r="J11" s="134"/>
      <c r="K11" s="93"/>
      <c r="L11" s="92"/>
      <c r="M11" s="92"/>
      <c r="N11" s="92"/>
      <c r="O11" s="92"/>
      <c r="P11" s="92"/>
      <c r="Q11" s="92"/>
      <c r="R11" s="92"/>
      <c r="S11" s="92"/>
      <c r="T11" s="92"/>
      <c r="U11" s="92"/>
      <c r="V11" s="92"/>
      <c r="W11" s="92"/>
      <c r="X11" s="92"/>
      <c r="Y11" s="92"/>
      <c r="Z11" s="92"/>
      <c r="AA11" s="92"/>
      <c r="AB11" s="92"/>
      <c r="AC11" s="92"/>
    </row>
    <row r="12" spans="1:29" ht="12.75" customHeight="1">
      <c r="A12" s="54"/>
      <c r="B12" s="66"/>
      <c r="C12" s="66" t="s">
        <v>479</v>
      </c>
      <c r="D12" s="57">
        <v>8</v>
      </c>
      <c r="E12" s="55">
        <v>0.3527396210511196</v>
      </c>
      <c r="F12" s="55"/>
      <c r="G12" s="63" t="s">
        <v>1067</v>
      </c>
      <c r="H12" s="92"/>
      <c r="I12" s="92"/>
      <c r="J12" s="92"/>
      <c r="K12" s="92"/>
      <c r="L12" s="92"/>
      <c r="M12" s="92"/>
      <c r="N12" s="92"/>
      <c r="O12" s="92"/>
      <c r="P12" s="92"/>
      <c r="Q12" s="92"/>
      <c r="R12" s="92"/>
      <c r="S12" s="92"/>
      <c r="T12" s="92"/>
      <c r="U12" s="92"/>
      <c r="V12" s="92"/>
      <c r="W12" s="92"/>
      <c r="X12" s="92"/>
      <c r="Y12" s="92"/>
      <c r="Z12" s="92"/>
      <c r="AA12" s="92"/>
      <c r="AB12" s="92"/>
      <c r="AC12" s="92"/>
    </row>
    <row r="13" spans="1:29" ht="12.75" customHeight="1">
      <c r="A13" s="54"/>
      <c r="B13" s="66"/>
      <c r="C13" s="66" t="s">
        <v>479</v>
      </c>
      <c r="D13" s="57">
        <v>26</v>
      </c>
      <c r="E13" s="55">
        <f>D13/28.349523</f>
        <v>0.917123014732911</v>
      </c>
      <c r="F13" s="55"/>
      <c r="G13" s="236" t="s">
        <v>806</v>
      </c>
      <c r="H13" s="92"/>
      <c r="I13" s="92"/>
      <c r="J13" s="92"/>
      <c r="K13" s="92"/>
      <c r="L13" s="92"/>
      <c r="M13" s="92"/>
      <c r="N13" s="92"/>
      <c r="O13" s="92"/>
      <c r="P13" s="92"/>
      <c r="Q13" s="92"/>
      <c r="R13" s="92"/>
      <c r="S13" s="92"/>
      <c r="T13" s="92"/>
      <c r="U13" s="92"/>
      <c r="V13" s="92"/>
      <c r="W13" s="92"/>
      <c r="X13" s="92"/>
      <c r="Y13" s="92"/>
      <c r="Z13" s="92"/>
      <c r="AA13" s="92"/>
      <c r="AB13" s="92"/>
      <c r="AC13" s="92"/>
    </row>
    <row r="14" spans="1:29" ht="12.75" customHeight="1">
      <c r="A14" s="54"/>
      <c r="B14" s="66"/>
      <c r="C14" s="73" t="s">
        <v>267</v>
      </c>
      <c r="D14" s="285">
        <v>37</v>
      </c>
      <c r="E14" s="69">
        <f>D14/28.349523</f>
        <v>1.3051365978891425</v>
      </c>
      <c r="F14" s="183"/>
      <c r="G14" s="246" t="s">
        <v>414</v>
      </c>
      <c r="H14" s="92"/>
      <c r="I14" s="92"/>
      <c r="J14" s="92"/>
      <c r="K14" s="92"/>
      <c r="L14" s="92"/>
      <c r="M14" s="92"/>
      <c r="N14" s="92"/>
      <c r="O14" s="92"/>
      <c r="P14" s="92"/>
      <c r="Q14" s="92"/>
      <c r="R14" s="92"/>
      <c r="S14" s="92"/>
      <c r="T14" s="92"/>
      <c r="U14" s="92"/>
      <c r="V14" s="92"/>
      <c r="W14" s="92"/>
      <c r="X14" s="92"/>
      <c r="Y14" s="92"/>
      <c r="Z14" s="92"/>
      <c r="AA14" s="92"/>
      <c r="AB14" s="92"/>
      <c r="AC14" s="92"/>
    </row>
    <row r="15" spans="1:29" ht="12.75" customHeight="1">
      <c r="A15" s="54"/>
      <c r="B15" s="66"/>
      <c r="C15" s="73" t="s">
        <v>479</v>
      </c>
      <c r="D15" s="264">
        <v>22</v>
      </c>
      <c r="E15" s="69">
        <f>D15/28.349523</f>
        <v>0.7760271663124632</v>
      </c>
      <c r="F15" s="183"/>
      <c r="G15" s="246" t="s">
        <v>1764</v>
      </c>
      <c r="H15" s="92"/>
      <c r="I15" s="92"/>
      <c r="J15" s="92"/>
      <c r="K15" s="92"/>
      <c r="L15" s="92"/>
      <c r="M15" s="92"/>
      <c r="N15" s="92"/>
      <c r="O15" s="92"/>
      <c r="P15" s="92"/>
      <c r="Q15" s="92"/>
      <c r="R15" s="92"/>
      <c r="S15" s="92"/>
      <c r="T15" s="92"/>
      <c r="U15" s="92"/>
      <c r="V15" s="92"/>
      <c r="W15" s="92"/>
      <c r="X15" s="92"/>
      <c r="Y15" s="92"/>
      <c r="Z15" s="92"/>
      <c r="AA15" s="92"/>
      <c r="AB15" s="92"/>
      <c r="AC15" s="92"/>
    </row>
    <row r="16" spans="1:29" ht="12.75" customHeight="1">
      <c r="A16" s="54"/>
      <c r="B16" s="66"/>
      <c r="C16" s="309" t="s">
        <v>479</v>
      </c>
      <c r="D16" s="312">
        <v>124</v>
      </c>
      <c r="E16" s="314">
        <f>D16/28.349523</f>
        <v>4.373971301033883</v>
      </c>
      <c r="F16" s="314">
        <f>E16/16</f>
        <v>0.2733732063146177</v>
      </c>
      <c r="G16" s="240" t="s">
        <v>972</v>
      </c>
      <c r="H16" s="92"/>
      <c r="I16" s="92"/>
      <c r="J16" s="92"/>
      <c r="K16" s="92"/>
      <c r="L16" s="92"/>
      <c r="M16" s="92"/>
      <c r="N16" s="92"/>
      <c r="O16" s="92"/>
      <c r="P16" s="92"/>
      <c r="Q16" s="92"/>
      <c r="R16" s="92"/>
      <c r="S16" s="92"/>
      <c r="T16" s="92"/>
      <c r="U16" s="92"/>
      <c r="V16" s="92"/>
      <c r="W16" s="92"/>
      <c r="X16" s="92"/>
      <c r="Y16" s="92"/>
      <c r="Z16" s="92"/>
      <c r="AA16" s="92"/>
      <c r="AB16" s="92"/>
      <c r="AC16" s="92"/>
    </row>
    <row r="17" spans="1:29" ht="12.75" customHeight="1">
      <c r="A17" s="54"/>
      <c r="B17" s="66"/>
      <c r="C17" s="309"/>
      <c r="D17" s="313"/>
      <c r="E17" s="315"/>
      <c r="F17" s="315"/>
      <c r="G17" s="240" t="s">
        <v>973</v>
      </c>
      <c r="H17" s="92"/>
      <c r="I17" s="92"/>
      <c r="J17" s="92"/>
      <c r="K17" s="92"/>
      <c r="L17" s="92"/>
      <c r="M17" s="92"/>
      <c r="N17" s="92"/>
      <c r="O17" s="92"/>
      <c r="P17" s="92"/>
      <c r="Q17" s="92"/>
      <c r="R17" s="92"/>
      <c r="S17" s="92"/>
      <c r="T17" s="92"/>
      <c r="U17" s="92"/>
      <c r="V17" s="92"/>
      <c r="W17" s="92"/>
      <c r="X17" s="92"/>
      <c r="Y17" s="92"/>
      <c r="Z17" s="92"/>
      <c r="AA17" s="92"/>
      <c r="AB17" s="92"/>
      <c r="AC17" s="92"/>
    </row>
    <row r="18" spans="1:29" ht="12.75" customHeight="1">
      <c r="A18" s="54"/>
      <c r="B18" s="66"/>
      <c r="C18" s="66" t="s">
        <v>479</v>
      </c>
      <c r="D18" s="54">
        <v>21</v>
      </c>
      <c r="E18" s="55">
        <f aca="true" t="shared" si="0" ref="E18:E23">D18/28.349523</f>
        <v>0.7407532042073511</v>
      </c>
      <c r="F18" s="54"/>
      <c r="G18" s="132" t="s">
        <v>608</v>
      </c>
      <c r="H18" s="92"/>
      <c r="I18" s="92"/>
      <c r="J18" s="92"/>
      <c r="K18" s="92"/>
      <c r="L18" s="92"/>
      <c r="M18" s="92"/>
      <c r="N18" s="92"/>
      <c r="O18" s="92"/>
      <c r="P18" s="92"/>
      <c r="Q18" s="92"/>
      <c r="R18" s="92"/>
      <c r="S18" s="92"/>
      <c r="T18" s="92"/>
      <c r="U18" s="92"/>
      <c r="V18" s="92"/>
      <c r="W18" s="92"/>
      <c r="X18" s="92"/>
      <c r="Y18" s="92"/>
      <c r="Z18" s="92"/>
      <c r="AA18" s="92"/>
      <c r="AB18" s="92"/>
      <c r="AC18" s="92"/>
    </row>
    <row r="19" spans="1:29" ht="12.75" customHeight="1">
      <c r="A19" s="54"/>
      <c r="B19" s="66"/>
      <c r="C19" s="66" t="s">
        <v>479</v>
      </c>
      <c r="D19" s="54">
        <v>5</v>
      </c>
      <c r="E19" s="55">
        <f t="shared" si="0"/>
        <v>0.1763698105255598</v>
      </c>
      <c r="F19" s="55"/>
      <c r="G19" s="132" t="s">
        <v>28</v>
      </c>
      <c r="H19" s="92"/>
      <c r="I19" s="92"/>
      <c r="J19" s="92"/>
      <c r="K19" s="92"/>
      <c r="L19" s="92"/>
      <c r="M19" s="92"/>
      <c r="N19" s="92"/>
      <c r="O19" s="92"/>
      <c r="P19" s="92"/>
      <c r="Q19" s="92"/>
      <c r="R19" s="92"/>
      <c r="S19" s="92"/>
      <c r="T19" s="92"/>
      <c r="U19" s="92"/>
      <c r="V19" s="92"/>
      <c r="W19" s="92"/>
      <c r="X19" s="92"/>
      <c r="Y19" s="92"/>
      <c r="Z19" s="92"/>
      <c r="AA19" s="92"/>
      <c r="AB19" s="92"/>
      <c r="AC19" s="92"/>
    </row>
    <row r="20" spans="1:29" ht="12.75" customHeight="1">
      <c r="A20" s="54"/>
      <c r="B20" s="66"/>
      <c r="C20" s="66" t="s">
        <v>479</v>
      </c>
      <c r="D20" s="54">
        <v>14</v>
      </c>
      <c r="E20" s="55">
        <f t="shared" si="0"/>
        <v>0.4938354694715675</v>
      </c>
      <c r="F20" s="54"/>
      <c r="G20" s="132" t="s">
        <v>1386</v>
      </c>
      <c r="H20" s="92"/>
      <c r="I20" s="92"/>
      <c r="J20" s="92"/>
      <c r="K20" s="92"/>
      <c r="L20" s="92"/>
      <c r="M20" s="92"/>
      <c r="N20" s="92"/>
      <c r="O20" s="92"/>
      <c r="P20" s="92"/>
      <c r="Q20" s="92"/>
      <c r="R20" s="92"/>
      <c r="S20" s="92"/>
      <c r="T20" s="92"/>
      <c r="U20" s="92"/>
      <c r="V20" s="92"/>
      <c r="W20" s="92"/>
      <c r="X20" s="92"/>
      <c r="Y20" s="92"/>
      <c r="Z20" s="92"/>
      <c r="AA20" s="92"/>
      <c r="AB20" s="92"/>
      <c r="AC20" s="92"/>
    </row>
    <row r="21" spans="1:29" ht="12.75" customHeight="1">
      <c r="A21" s="54"/>
      <c r="B21" s="66"/>
      <c r="C21" s="66" t="s">
        <v>479</v>
      </c>
      <c r="D21" s="57">
        <v>60</v>
      </c>
      <c r="E21" s="55">
        <f t="shared" si="0"/>
        <v>2.116437726306718</v>
      </c>
      <c r="F21" s="55"/>
      <c r="G21" s="132" t="s">
        <v>1911</v>
      </c>
      <c r="H21" s="92"/>
      <c r="I21" s="92"/>
      <c r="J21" s="92"/>
      <c r="K21" s="92"/>
      <c r="L21" s="92"/>
      <c r="M21" s="92"/>
      <c r="N21" s="92"/>
      <c r="O21" s="92"/>
      <c r="P21" s="92"/>
      <c r="Q21" s="92"/>
      <c r="R21" s="92"/>
      <c r="S21" s="92"/>
      <c r="T21" s="92"/>
      <c r="U21" s="92"/>
      <c r="V21" s="92"/>
      <c r="W21" s="92"/>
      <c r="X21" s="92"/>
      <c r="Y21" s="92"/>
      <c r="Z21" s="92"/>
      <c r="AA21" s="92"/>
      <c r="AB21" s="92"/>
      <c r="AC21" s="92"/>
    </row>
    <row r="22" spans="1:29" ht="12.75" customHeight="1">
      <c r="A22" s="54"/>
      <c r="B22" s="66"/>
      <c r="C22" s="66" t="s">
        <v>267</v>
      </c>
      <c r="D22" s="54">
        <v>60</v>
      </c>
      <c r="E22" s="55">
        <f t="shared" si="0"/>
        <v>2.116437726306718</v>
      </c>
      <c r="F22" s="54"/>
      <c r="G22" s="237" t="s">
        <v>1280</v>
      </c>
      <c r="H22" s="92"/>
      <c r="I22" s="92"/>
      <c r="J22" s="92"/>
      <c r="K22" s="92"/>
      <c r="L22" s="92"/>
      <c r="M22" s="92"/>
      <c r="N22" s="92"/>
      <c r="O22" s="92"/>
      <c r="P22" s="92"/>
      <c r="Q22" s="92"/>
      <c r="R22" s="92"/>
      <c r="S22" s="92"/>
      <c r="T22" s="92"/>
      <c r="U22" s="92"/>
      <c r="V22" s="92"/>
      <c r="W22" s="92"/>
      <c r="X22" s="92"/>
      <c r="Y22" s="92"/>
      <c r="Z22" s="92"/>
      <c r="AA22" s="92"/>
      <c r="AB22" s="92"/>
      <c r="AC22" s="92"/>
    </row>
    <row r="23" spans="1:29" ht="12.75" customHeight="1">
      <c r="A23" s="54"/>
      <c r="B23" s="66"/>
      <c r="C23" s="66" t="s">
        <v>479</v>
      </c>
      <c r="D23" s="54">
        <v>21</v>
      </c>
      <c r="E23" s="55">
        <f t="shared" si="0"/>
        <v>0.7407532042073511</v>
      </c>
      <c r="F23" s="54"/>
      <c r="G23" s="132" t="s">
        <v>646</v>
      </c>
      <c r="H23" s="92"/>
      <c r="I23" s="92"/>
      <c r="J23" s="92"/>
      <c r="K23" s="92"/>
      <c r="L23" s="92"/>
      <c r="M23" s="92"/>
      <c r="N23" s="92"/>
      <c r="O23" s="92"/>
      <c r="P23" s="92"/>
      <c r="Q23" s="92"/>
      <c r="R23" s="92"/>
      <c r="S23" s="92"/>
      <c r="T23" s="92"/>
      <c r="U23" s="92"/>
      <c r="V23" s="92"/>
      <c r="W23" s="92"/>
      <c r="X23" s="92"/>
      <c r="Y23" s="92"/>
      <c r="Z23" s="92"/>
      <c r="AA23" s="92"/>
      <c r="AB23" s="92"/>
      <c r="AC23" s="92"/>
    </row>
    <row r="24" spans="1:29" ht="12.75" customHeight="1">
      <c r="A24" s="54"/>
      <c r="B24" s="54"/>
      <c r="C24" s="54" t="s">
        <v>449</v>
      </c>
      <c r="D24" s="57">
        <v>814</v>
      </c>
      <c r="E24" s="55">
        <f>D24/28.349523</f>
        <v>28.713005153561138</v>
      </c>
      <c r="F24" s="55">
        <f>E24/16</f>
        <v>1.7945628220975711</v>
      </c>
      <c r="G24" t="s">
        <v>1765</v>
      </c>
      <c r="H24" s="92"/>
      <c r="I24" s="92"/>
      <c r="J24" s="92"/>
      <c r="K24" s="92"/>
      <c r="L24" s="92"/>
      <c r="M24" s="92"/>
      <c r="N24" s="92"/>
      <c r="O24" s="92"/>
      <c r="P24" s="92"/>
      <c r="Q24" s="92"/>
      <c r="R24" s="92"/>
      <c r="S24" s="92"/>
      <c r="T24" s="92"/>
      <c r="U24" s="92"/>
      <c r="V24" s="92"/>
      <c r="W24" s="92"/>
      <c r="X24" s="92"/>
      <c r="Y24" s="92"/>
      <c r="Z24" s="92"/>
      <c r="AA24" s="92"/>
      <c r="AB24" s="92"/>
      <c r="AC24" s="92"/>
    </row>
    <row r="25" spans="1:29" ht="12.75" customHeight="1">
      <c r="A25" s="54"/>
      <c r="B25" s="54"/>
      <c r="C25" s="147" t="s">
        <v>449</v>
      </c>
      <c r="D25" s="57">
        <v>403</v>
      </c>
      <c r="E25" s="55">
        <f aca="true" t="shared" si="1" ref="E25:E78">D25/28.349523</f>
        <v>14.21540672836012</v>
      </c>
      <c r="F25" s="55">
        <f>E25/16</f>
        <v>0.8884629205225075</v>
      </c>
      <c r="G25" s="65" t="s">
        <v>1640</v>
      </c>
      <c r="H25" s="134"/>
      <c r="I25" s="92"/>
      <c r="J25" s="92"/>
      <c r="K25" s="92"/>
      <c r="L25" s="92"/>
      <c r="M25" s="92"/>
      <c r="N25" s="92"/>
      <c r="O25" s="92"/>
      <c r="P25" s="92"/>
      <c r="Q25" s="92"/>
      <c r="R25" s="92"/>
      <c r="S25" s="92"/>
      <c r="T25" s="92"/>
      <c r="U25" s="92"/>
      <c r="V25" s="92"/>
      <c r="W25" s="92"/>
      <c r="X25" s="92"/>
      <c r="Y25" s="92"/>
      <c r="Z25" s="92"/>
      <c r="AA25" s="92"/>
      <c r="AB25" s="92"/>
      <c r="AC25" s="92"/>
    </row>
    <row r="26" spans="1:29" ht="12.75" customHeight="1">
      <c r="A26" s="54"/>
      <c r="B26" s="54"/>
      <c r="C26" s="147" t="s">
        <v>449</v>
      </c>
      <c r="D26" s="57">
        <v>236</v>
      </c>
      <c r="E26" s="55">
        <f>D26/28.349523</f>
        <v>8.324655056806423</v>
      </c>
      <c r="F26" s="55">
        <f>E26/16</f>
        <v>0.5202909410504014</v>
      </c>
      <c r="G26" t="s">
        <v>2071</v>
      </c>
      <c r="H26" s="134"/>
      <c r="I26" s="92"/>
      <c r="J26" s="92"/>
      <c r="K26" s="92"/>
      <c r="L26" s="92"/>
      <c r="M26" s="92"/>
      <c r="N26" s="92"/>
      <c r="O26" s="92"/>
      <c r="P26" s="92"/>
      <c r="Q26" s="92"/>
      <c r="R26" s="92"/>
      <c r="S26" s="92"/>
      <c r="T26" s="92"/>
      <c r="U26" s="92"/>
      <c r="V26" s="92"/>
      <c r="W26" s="92"/>
      <c r="X26" s="92"/>
      <c r="Y26" s="92"/>
      <c r="Z26" s="92"/>
      <c r="AA26" s="92"/>
      <c r="AB26" s="92"/>
      <c r="AC26" s="92"/>
    </row>
    <row r="27" spans="1:29" ht="12.75" customHeight="1">
      <c r="A27" s="54"/>
      <c r="B27" s="54"/>
      <c r="C27" s="147" t="s">
        <v>449</v>
      </c>
      <c r="D27" s="57">
        <v>159</v>
      </c>
      <c r="E27" s="55">
        <f t="shared" si="1"/>
        <v>5.608559974712802</v>
      </c>
      <c r="F27" s="55"/>
      <c r="G27" s="65" t="s">
        <v>2008</v>
      </c>
      <c r="H27" s="134"/>
      <c r="I27" s="92"/>
      <c r="J27" s="92"/>
      <c r="K27" s="92"/>
      <c r="L27" s="92"/>
      <c r="M27" s="92"/>
      <c r="N27" s="92"/>
      <c r="O27" s="92"/>
      <c r="P27" s="92"/>
      <c r="Q27" s="92"/>
      <c r="R27" s="92"/>
      <c r="S27" s="92"/>
      <c r="T27" s="92"/>
      <c r="U27" s="92"/>
      <c r="V27" s="92"/>
      <c r="W27" s="92"/>
      <c r="X27" s="92"/>
      <c r="Y27" s="92"/>
      <c r="Z27" s="92"/>
      <c r="AA27" s="92"/>
      <c r="AB27" s="92"/>
      <c r="AC27" s="92"/>
    </row>
    <row r="28" spans="1:36" ht="12.75" customHeight="1">
      <c r="A28" s="54"/>
      <c r="B28" s="54"/>
      <c r="C28" s="147" t="s">
        <v>449</v>
      </c>
      <c r="D28" s="61">
        <v>32</v>
      </c>
      <c r="E28" s="55">
        <f t="shared" si="1"/>
        <v>1.1287667873635827</v>
      </c>
      <c r="F28" s="55"/>
      <c r="G28" s="4" t="s">
        <v>805</v>
      </c>
      <c r="H28" s="92"/>
      <c r="I28" s="92"/>
      <c r="J28" s="139"/>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row>
    <row r="29" spans="1:29" ht="12.75" customHeight="1">
      <c r="A29" s="54"/>
      <c r="B29" s="54"/>
      <c r="C29" s="147" t="s">
        <v>449</v>
      </c>
      <c r="D29" s="61">
        <v>44</v>
      </c>
      <c r="E29" s="55">
        <f t="shared" si="1"/>
        <v>1.5520543326249263</v>
      </c>
      <c r="F29" s="55"/>
      <c r="G29" s="256" t="s">
        <v>1634</v>
      </c>
      <c r="H29" s="92"/>
      <c r="I29" s="92"/>
      <c r="J29" s="92"/>
      <c r="K29" s="92"/>
      <c r="L29" s="92"/>
      <c r="M29" s="92"/>
      <c r="N29" s="92"/>
      <c r="O29" s="92"/>
      <c r="P29" s="92"/>
      <c r="Q29" s="92"/>
      <c r="R29" s="92"/>
      <c r="S29" s="92"/>
      <c r="T29" s="92"/>
      <c r="U29" s="92"/>
      <c r="V29" s="92"/>
      <c r="W29" s="92"/>
      <c r="X29" s="92"/>
      <c r="Y29" s="92"/>
      <c r="Z29" s="92"/>
      <c r="AA29" s="92"/>
      <c r="AB29" s="92"/>
      <c r="AC29" s="92"/>
    </row>
    <row r="30" spans="1:29" ht="12.75" customHeight="1">
      <c r="A30" s="54"/>
      <c r="B30" s="54"/>
      <c r="C30" s="147" t="s">
        <v>449</v>
      </c>
      <c r="D30" s="57">
        <v>84</v>
      </c>
      <c r="E30" s="55">
        <f t="shared" si="1"/>
        <v>2.9630128168294045</v>
      </c>
      <c r="F30" s="55"/>
      <c r="G30" s="257" t="s">
        <v>1751</v>
      </c>
      <c r="H30" s="92"/>
      <c r="I30" s="92"/>
      <c r="J30" s="92"/>
      <c r="K30" s="92"/>
      <c r="L30" s="92"/>
      <c r="M30" s="92"/>
      <c r="N30" s="92"/>
      <c r="O30" s="92"/>
      <c r="P30" s="92"/>
      <c r="Q30" s="92"/>
      <c r="R30" s="92"/>
      <c r="S30" s="92"/>
      <c r="T30" s="92"/>
      <c r="U30" s="92"/>
      <c r="V30" s="92"/>
      <c r="W30" s="92"/>
      <c r="X30" s="92"/>
      <c r="Y30" s="92"/>
      <c r="Z30" s="92"/>
      <c r="AA30" s="92"/>
      <c r="AB30" s="92"/>
      <c r="AC30" s="92"/>
    </row>
    <row r="31" spans="1:29" ht="12.75" customHeight="1">
      <c r="A31" s="54"/>
      <c r="B31" s="54"/>
      <c r="C31" s="147" t="s">
        <v>449</v>
      </c>
      <c r="D31" s="57">
        <v>88</v>
      </c>
      <c r="E31" s="55">
        <f t="shared" si="1"/>
        <v>3.1041086652498526</v>
      </c>
      <c r="F31" s="55"/>
      <c r="G31" s="257" t="s">
        <v>1759</v>
      </c>
      <c r="H31" s="92"/>
      <c r="I31" s="92"/>
      <c r="J31" s="92"/>
      <c r="K31" s="92"/>
      <c r="L31" s="92"/>
      <c r="M31" s="92"/>
      <c r="N31" s="92"/>
      <c r="O31" s="92"/>
      <c r="P31" s="92"/>
      <c r="Q31" s="92"/>
      <c r="R31" s="92"/>
      <c r="S31" s="92"/>
      <c r="T31" s="92"/>
      <c r="U31" s="92"/>
      <c r="V31" s="92"/>
      <c r="W31" s="92"/>
      <c r="X31" s="92"/>
      <c r="Y31" s="92"/>
      <c r="Z31" s="92"/>
      <c r="AA31" s="92"/>
      <c r="AB31" s="92"/>
      <c r="AC31" s="92"/>
    </row>
    <row r="32" spans="1:29" ht="12.75" customHeight="1">
      <c r="A32" s="54"/>
      <c r="B32" s="54"/>
      <c r="C32" s="147" t="s">
        <v>449</v>
      </c>
      <c r="D32" s="54">
        <v>36</v>
      </c>
      <c r="E32" s="55">
        <f t="shared" si="1"/>
        <v>1.2698626357840306</v>
      </c>
      <c r="F32" s="55"/>
      <c r="G32" s="259" t="s">
        <v>322</v>
      </c>
      <c r="H32" s="92"/>
      <c r="I32" s="92"/>
      <c r="J32" s="92"/>
      <c r="K32" s="92"/>
      <c r="L32" s="92"/>
      <c r="M32" s="92"/>
      <c r="N32" s="92"/>
      <c r="O32" s="92"/>
      <c r="P32" s="92"/>
      <c r="Q32" s="92"/>
      <c r="R32" s="92"/>
      <c r="S32" s="92"/>
      <c r="T32" s="92"/>
      <c r="U32" s="92"/>
      <c r="V32" s="92"/>
      <c r="W32" s="92"/>
      <c r="X32" s="92"/>
      <c r="Y32" s="92"/>
      <c r="Z32" s="92"/>
      <c r="AA32" s="92"/>
      <c r="AB32" s="92"/>
      <c r="AC32" s="92"/>
    </row>
    <row r="33" spans="1:29" ht="12.75" customHeight="1">
      <c r="A33" s="54"/>
      <c r="B33" s="54"/>
      <c r="C33" s="54" t="s">
        <v>479</v>
      </c>
      <c r="D33" s="57">
        <v>57</v>
      </c>
      <c r="E33" s="55">
        <f t="shared" si="1"/>
        <v>2.010615839991382</v>
      </c>
      <c r="F33" s="55"/>
      <c r="G33" s="260" t="s">
        <v>1315</v>
      </c>
      <c r="H33" s="92"/>
      <c r="I33" s="92"/>
      <c r="J33" s="92"/>
      <c r="K33" s="92"/>
      <c r="L33" s="92"/>
      <c r="M33" s="92"/>
      <c r="N33" s="92"/>
      <c r="O33" s="92"/>
      <c r="P33" s="92"/>
      <c r="Q33" s="92"/>
      <c r="R33" s="92"/>
      <c r="S33" s="92"/>
      <c r="T33" s="92"/>
      <c r="U33" s="92"/>
      <c r="V33" s="92"/>
      <c r="W33" s="92"/>
      <c r="X33" s="92"/>
      <c r="Y33" s="92"/>
      <c r="Z33" s="92"/>
      <c r="AA33" s="92"/>
      <c r="AB33" s="92"/>
      <c r="AC33" s="92"/>
    </row>
    <row r="34" spans="1:29" ht="12.75" customHeight="1">
      <c r="A34" s="54"/>
      <c r="B34" s="54"/>
      <c r="C34" s="54" t="s">
        <v>479</v>
      </c>
      <c r="D34" s="57">
        <v>44</v>
      </c>
      <c r="E34" s="55">
        <f t="shared" si="1"/>
        <v>1.5520543326249263</v>
      </c>
      <c r="F34" s="55"/>
      <c r="G34" s="65" t="s">
        <v>899</v>
      </c>
      <c r="H34" s="134"/>
      <c r="I34" s="92"/>
      <c r="J34" s="134"/>
      <c r="K34" s="92"/>
      <c r="L34" s="92"/>
      <c r="M34" s="92"/>
      <c r="N34" s="92"/>
      <c r="O34" s="92"/>
      <c r="P34" s="92"/>
      <c r="Q34" s="92"/>
      <c r="R34" s="92"/>
      <c r="S34" s="92"/>
      <c r="T34" s="92"/>
      <c r="U34" s="92"/>
      <c r="V34" s="92"/>
      <c r="W34" s="92"/>
      <c r="X34" s="92"/>
      <c r="Y34" s="92"/>
      <c r="Z34" s="92"/>
      <c r="AA34" s="92"/>
      <c r="AB34" s="92"/>
      <c r="AC34" s="92"/>
    </row>
    <row r="35" spans="1:17" ht="12.75">
      <c r="A35" s="54"/>
      <c r="B35" s="54"/>
      <c r="C35" s="54" t="s">
        <v>449</v>
      </c>
      <c r="D35" s="57">
        <v>800</v>
      </c>
      <c r="E35" s="55">
        <f>D35/28.349523</f>
        <v>28.219169684089568</v>
      </c>
      <c r="F35" s="55">
        <f>E35/16</f>
        <v>1.763698105255598</v>
      </c>
      <c r="G35" s="6" t="s">
        <v>965</v>
      </c>
      <c r="J35" s="9"/>
      <c r="P35" s="3"/>
      <c r="Q35" s="3"/>
    </row>
    <row r="36" spans="1:7" ht="12.75">
      <c r="A36" s="54"/>
      <c r="B36" s="54"/>
      <c r="C36" s="54" t="s">
        <v>449</v>
      </c>
      <c r="D36" s="57">
        <v>97</v>
      </c>
      <c r="E36" s="55">
        <f>D36/28.349523</f>
        <v>3.42157432419586</v>
      </c>
      <c r="F36" s="55">
        <f>E36/16</f>
        <v>0.21384839526224125</v>
      </c>
      <c r="G36" t="s">
        <v>966</v>
      </c>
    </row>
    <row r="37" spans="1:17" ht="12.75">
      <c r="A37" s="54"/>
      <c r="B37" s="54"/>
      <c r="C37" s="54" t="s">
        <v>449</v>
      </c>
      <c r="D37" s="57">
        <v>32</v>
      </c>
      <c r="E37" s="55">
        <f>D37/28.349523</f>
        <v>1.1287667873635827</v>
      </c>
      <c r="F37" s="55">
        <f>E37/16</f>
        <v>0.07054792421022392</v>
      </c>
      <c r="G37" s="6" t="s">
        <v>967</v>
      </c>
      <c r="J37" s="9"/>
      <c r="P37" s="3"/>
      <c r="Q37" s="3"/>
    </row>
    <row r="38" spans="1:27" ht="12.75" customHeight="1">
      <c r="A38" s="54"/>
      <c r="B38" s="54"/>
      <c r="C38" s="54"/>
      <c r="D38" s="61">
        <v>158</v>
      </c>
      <c r="E38" s="55">
        <f t="shared" si="1"/>
        <v>5.5732860126076895</v>
      </c>
      <c r="F38" s="55">
        <f>E38/16</f>
        <v>0.3483303757879806</v>
      </c>
      <c r="G38" s="259" t="s">
        <v>2117</v>
      </c>
      <c r="H38" s="134"/>
      <c r="I38" s="92"/>
      <c r="J38" s="92"/>
      <c r="K38" s="92"/>
      <c r="L38" s="92"/>
      <c r="M38" s="92"/>
      <c r="N38" s="92"/>
      <c r="O38" s="92"/>
      <c r="P38" s="92"/>
      <c r="Q38" s="92"/>
      <c r="R38" s="92"/>
      <c r="S38" s="92"/>
      <c r="T38" s="92"/>
      <c r="U38" s="92"/>
      <c r="V38" s="92"/>
      <c r="W38" s="92"/>
      <c r="X38" s="92"/>
      <c r="Y38" s="92"/>
      <c r="Z38" s="92"/>
      <c r="AA38" s="92"/>
    </row>
    <row r="39" spans="1:27" ht="12.75" customHeight="1">
      <c r="A39" s="54"/>
      <c r="B39" s="54"/>
      <c r="C39" s="54"/>
      <c r="D39" s="61">
        <v>362</v>
      </c>
      <c r="E39" s="55">
        <f t="shared" si="1"/>
        <v>12.76917428205053</v>
      </c>
      <c r="F39" s="55">
        <f>E39/16</f>
        <v>0.7980733926281581</v>
      </c>
      <c r="G39" s="261" t="s">
        <v>1831</v>
      </c>
      <c r="H39" s="92"/>
      <c r="I39" s="92"/>
      <c r="J39" s="92"/>
      <c r="K39" s="92"/>
      <c r="L39" s="92"/>
      <c r="M39" s="92"/>
      <c r="N39" s="92"/>
      <c r="O39" s="92"/>
      <c r="P39" s="92"/>
      <c r="Q39" s="92"/>
      <c r="R39" s="92"/>
      <c r="S39" s="92"/>
      <c r="T39" s="92"/>
      <c r="U39" s="92"/>
      <c r="V39" s="92"/>
      <c r="W39" s="92"/>
      <c r="X39" s="92"/>
      <c r="Y39" s="92"/>
      <c r="Z39" s="92"/>
      <c r="AA39" s="92"/>
    </row>
    <row r="40" spans="1:29" ht="12.75" customHeight="1">
      <c r="A40" s="54"/>
      <c r="B40" s="54"/>
      <c r="C40" s="54" t="s">
        <v>2009</v>
      </c>
      <c r="D40" s="54">
        <v>64</v>
      </c>
      <c r="E40" s="55">
        <f t="shared" si="1"/>
        <v>2.2575335747271654</v>
      </c>
      <c r="F40" s="54"/>
      <c r="G40" s="65" t="s">
        <v>1767</v>
      </c>
      <c r="H40" s="92"/>
      <c r="I40" s="92"/>
      <c r="J40" s="92"/>
      <c r="K40" s="92"/>
      <c r="L40" s="92"/>
      <c r="M40" s="92"/>
      <c r="N40" s="92"/>
      <c r="O40" s="92"/>
      <c r="P40" s="92"/>
      <c r="Q40" s="92"/>
      <c r="R40" s="92"/>
      <c r="S40" s="92"/>
      <c r="T40" s="92"/>
      <c r="U40" s="92"/>
      <c r="V40" s="92"/>
      <c r="W40" s="92"/>
      <c r="X40" s="92"/>
      <c r="Y40" s="92"/>
      <c r="Z40" s="92"/>
      <c r="AA40" s="92"/>
      <c r="AB40" s="92"/>
      <c r="AC40" s="92"/>
    </row>
    <row r="41" spans="1:29" ht="12.75" customHeight="1">
      <c r="A41" s="54"/>
      <c r="B41" s="54"/>
      <c r="C41" s="54"/>
      <c r="D41" s="61">
        <v>54</v>
      </c>
      <c r="E41" s="86">
        <f t="shared" si="1"/>
        <v>1.9047939536760459</v>
      </c>
      <c r="F41" s="55"/>
      <c r="G41" s="65" t="s">
        <v>1752</v>
      </c>
      <c r="H41" s="134"/>
      <c r="I41" s="92"/>
      <c r="J41" s="134"/>
      <c r="K41" s="92"/>
      <c r="L41" s="92"/>
      <c r="M41" s="92"/>
      <c r="N41" s="92"/>
      <c r="O41" s="92"/>
      <c r="P41" s="92"/>
      <c r="Q41" s="92"/>
      <c r="R41" s="92"/>
      <c r="S41" s="92"/>
      <c r="T41" s="92"/>
      <c r="U41" s="92"/>
      <c r="V41" s="92"/>
      <c r="W41" s="92"/>
      <c r="X41" s="92"/>
      <c r="Y41" s="92"/>
      <c r="Z41" s="92"/>
      <c r="AA41" s="92"/>
      <c r="AB41" s="92"/>
      <c r="AC41" s="92"/>
    </row>
    <row r="42" spans="1:9" ht="12.75" customHeight="1">
      <c r="A42" s="54"/>
      <c r="B42" s="54"/>
      <c r="C42" s="54" t="s">
        <v>449</v>
      </c>
      <c r="D42" s="57">
        <v>251</v>
      </c>
      <c r="E42" s="55">
        <f t="shared" si="1"/>
        <v>8.853764488383103</v>
      </c>
      <c r="F42" s="55">
        <f aca="true" t="shared" si="2" ref="F42:F49">E42/16</f>
        <v>0.5533602805239439</v>
      </c>
      <c r="G42" s="262" t="s">
        <v>1382</v>
      </c>
      <c r="H42" s="134"/>
      <c r="I42" s="92"/>
    </row>
    <row r="43" spans="1:9" ht="12.75" customHeight="1">
      <c r="A43" s="54"/>
      <c r="B43" s="54"/>
      <c r="C43" s="54" t="s">
        <v>1381</v>
      </c>
      <c r="D43" s="9">
        <v>163</v>
      </c>
      <c r="E43" s="2">
        <f t="shared" si="1"/>
        <v>5.749655823133249</v>
      </c>
      <c r="F43" s="2">
        <f>E43/16</f>
        <v>0.3593534889458281</v>
      </c>
      <c r="G43" s="4" t="s">
        <v>1711</v>
      </c>
      <c r="H43" s="134"/>
      <c r="I43" s="92"/>
    </row>
    <row r="44" spans="1:29" ht="12.75" customHeight="1">
      <c r="A44" s="54"/>
      <c r="B44" s="66"/>
      <c r="C44" s="66" t="s">
        <v>1381</v>
      </c>
      <c r="D44" s="57">
        <f>746+747</f>
        <v>1493</v>
      </c>
      <c r="E44" s="55">
        <f>D44/28.349523</f>
        <v>52.664025422932156</v>
      </c>
      <c r="F44" s="55">
        <f t="shared" si="2"/>
        <v>3.2915015889332597</v>
      </c>
      <c r="G44" s="238" t="s">
        <v>1491</v>
      </c>
      <c r="H44" s="134"/>
      <c r="I44" s="92"/>
      <c r="J44" s="134"/>
      <c r="K44" s="92"/>
      <c r="L44" s="92"/>
      <c r="M44" s="92"/>
      <c r="N44" s="92"/>
      <c r="O44" s="92"/>
      <c r="P44" s="92"/>
      <c r="Q44" s="92"/>
      <c r="R44" s="92"/>
      <c r="S44" s="92"/>
      <c r="T44" s="92"/>
      <c r="U44" s="92"/>
      <c r="V44" s="92"/>
      <c r="W44" s="92"/>
      <c r="X44" s="92"/>
      <c r="Y44" s="92"/>
      <c r="Z44" s="92"/>
      <c r="AA44" s="92"/>
      <c r="AB44" s="92"/>
      <c r="AC44" s="92"/>
    </row>
    <row r="45" spans="1:29" ht="12.75" customHeight="1">
      <c r="A45" s="54"/>
      <c r="B45" s="54"/>
      <c r="C45" s="54" t="s">
        <v>1381</v>
      </c>
      <c r="D45" s="57">
        <v>634</v>
      </c>
      <c r="E45" s="55">
        <f t="shared" si="1"/>
        <v>22.363691974640982</v>
      </c>
      <c r="F45" s="55">
        <f t="shared" si="2"/>
        <v>1.3977307484150614</v>
      </c>
      <c r="G45" s="259" t="s">
        <v>2118</v>
      </c>
      <c r="H45" s="92"/>
      <c r="I45" s="92"/>
      <c r="J45" s="92"/>
      <c r="K45" s="92"/>
      <c r="L45" s="92"/>
      <c r="M45" s="92"/>
      <c r="N45" s="92"/>
      <c r="O45" s="92"/>
      <c r="P45" s="92"/>
      <c r="Q45" s="92"/>
      <c r="R45" s="92"/>
      <c r="S45" s="92"/>
      <c r="T45" s="92"/>
      <c r="U45" s="92"/>
      <c r="V45" s="92"/>
      <c r="W45" s="92"/>
      <c r="X45" s="92"/>
      <c r="Y45" s="92"/>
      <c r="Z45" s="92"/>
      <c r="AA45" s="92"/>
      <c r="AB45" s="92"/>
      <c r="AC45" s="92"/>
    </row>
    <row r="46" spans="1:29" ht="12.75" customHeight="1">
      <c r="A46" s="54"/>
      <c r="B46" s="54"/>
      <c r="C46" s="54" t="s">
        <v>1381</v>
      </c>
      <c r="D46" s="57">
        <v>408</v>
      </c>
      <c r="E46" s="55">
        <f t="shared" si="1"/>
        <v>14.39177653888568</v>
      </c>
      <c r="F46" s="55">
        <f t="shared" si="2"/>
        <v>0.899486033680355</v>
      </c>
      <c r="G46" s="259" t="s">
        <v>2119</v>
      </c>
      <c r="H46" s="134"/>
      <c r="I46" s="92"/>
      <c r="N46" s="92"/>
      <c r="O46" s="92"/>
      <c r="P46" s="92"/>
      <c r="Q46" s="92"/>
      <c r="R46" s="92"/>
      <c r="S46" s="92"/>
      <c r="T46" s="92"/>
      <c r="U46" s="92"/>
      <c r="V46" s="92"/>
      <c r="W46" s="92"/>
      <c r="X46" s="92"/>
      <c r="Y46" s="92"/>
      <c r="Z46" s="92"/>
      <c r="AA46" s="92"/>
      <c r="AB46" s="92"/>
      <c r="AC46" s="92"/>
    </row>
    <row r="47" spans="1:10" ht="12.75">
      <c r="A47" s="54"/>
      <c r="B47" s="54"/>
      <c r="C47" s="54" t="s">
        <v>1381</v>
      </c>
      <c r="D47" s="234">
        <v>169.5</v>
      </c>
      <c r="E47" s="87">
        <f>D47/28.349523</f>
        <v>5.978936576816477</v>
      </c>
      <c r="F47" s="55">
        <f>E47/16</f>
        <v>0.37368353605102983</v>
      </c>
      <c r="G47" s="12" t="s">
        <v>109</v>
      </c>
      <c r="H47" s="3"/>
      <c r="J47" s="216"/>
    </row>
    <row r="48" spans="1:29" ht="12.75" customHeight="1">
      <c r="A48" s="54"/>
      <c r="B48" s="54"/>
      <c r="C48" s="54" t="s">
        <v>1381</v>
      </c>
      <c r="D48" s="234">
        <v>233</v>
      </c>
      <c r="E48" s="87">
        <f t="shared" si="1"/>
        <v>8.218833170491086</v>
      </c>
      <c r="F48" s="55">
        <f t="shared" si="2"/>
        <v>0.5136770731556929</v>
      </c>
      <c r="G48" s="12" t="s">
        <v>1834</v>
      </c>
      <c r="H48" s="134"/>
      <c r="I48" s="92"/>
      <c r="J48" s="92"/>
      <c r="K48" s="92"/>
      <c r="L48" s="92"/>
      <c r="Q48" s="92"/>
      <c r="R48" s="92"/>
      <c r="S48" s="92"/>
      <c r="T48" s="92"/>
      <c r="U48" s="92"/>
      <c r="V48" s="92"/>
      <c r="W48" s="92"/>
      <c r="X48" s="92"/>
      <c r="Y48" s="92"/>
      <c r="Z48" s="92"/>
      <c r="AA48" s="92"/>
      <c r="AB48" s="92"/>
      <c r="AC48" s="92"/>
    </row>
    <row r="49" spans="1:13" ht="12.75" customHeight="1">
      <c r="A49" s="54"/>
      <c r="B49" s="54"/>
      <c r="C49" s="54" t="s">
        <v>267</v>
      </c>
      <c r="D49" s="234">
        <v>16</v>
      </c>
      <c r="E49" s="55">
        <f>D49/28.349523</f>
        <v>0.5643833936817914</v>
      </c>
      <c r="F49" s="55">
        <f t="shared" si="2"/>
        <v>0.03527396210511196</v>
      </c>
      <c r="G49" s="257" t="s">
        <v>1903</v>
      </c>
      <c r="J49" s="93"/>
      <c r="K49" s="94"/>
      <c r="L49" s="94"/>
      <c r="M49" s="92"/>
    </row>
    <row r="50" spans="1:8" ht="12.75" customHeight="1">
      <c r="A50" s="54"/>
      <c r="B50" s="54"/>
      <c r="C50" s="54" t="s">
        <v>267</v>
      </c>
      <c r="D50" s="61">
        <v>52</v>
      </c>
      <c r="E50" s="55">
        <f t="shared" si="1"/>
        <v>1.834246029465822</v>
      </c>
      <c r="F50" s="55">
        <f>E50/16</f>
        <v>0.11464037684161388</v>
      </c>
      <c r="G50" s="262" t="s">
        <v>127</v>
      </c>
      <c r="H50" s="92"/>
    </row>
    <row r="51" spans="1:10" ht="12.75" customHeight="1">
      <c r="A51" s="54"/>
      <c r="B51" s="54"/>
      <c r="C51" s="54" t="s">
        <v>479</v>
      </c>
      <c r="D51" s="57">
        <v>12</v>
      </c>
      <c r="E51" s="55">
        <f t="shared" si="1"/>
        <v>0.42328754526134355</v>
      </c>
      <c r="F51" s="55"/>
      <c r="G51" s="257" t="s">
        <v>1902</v>
      </c>
      <c r="H51" s="92"/>
      <c r="J51" s="13"/>
    </row>
    <row r="52" spans="1:8" ht="12.75" customHeight="1">
      <c r="A52" s="54"/>
      <c r="B52" s="54"/>
      <c r="C52" s="54" t="s">
        <v>267</v>
      </c>
      <c r="D52" s="54">
        <v>18</v>
      </c>
      <c r="E52" s="55">
        <f t="shared" si="1"/>
        <v>0.6349313178920153</v>
      </c>
      <c r="F52" s="54"/>
      <c r="G52" s="262" t="s">
        <v>432</v>
      </c>
      <c r="H52" s="92"/>
    </row>
    <row r="53" spans="1:8" ht="12.75" customHeight="1">
      <c r="A53" s="54"/>
      <c r="B53" s="54"/>
      <c r="C53" s="54" t="s">
        <v>479</v>
      </c>
      <c r="D53" s="54">
        <v>20</v>
      </c>
      <c r="E53" s="55">
        <f t="shared" si="1"/>
        <v>0.7054792421022392</v>
      </c>
      <c r="F53" s="54"/>
      <c r="G53" s="262" t="s">
        <v>1750</v>
      </c>
      <c r="H53" s="92"/>
    </row>
    <row r="54" spans="1:29" ht="12" customHeight="1">
      <c r="A54" s="54"/>
      <c r="B54" s="54"/>
      <c r="C54" s="54"/>
      <c r="D54" s="61">
        <v>2555</v>
      </c>
      <c r="E54" s="57">
        <f t="shared" si="1"/>
        <v>90.12497317856106</v>
      </c>
      <c r="F54" s="55">
        <f>E54/16</f>
        <v>5.6328108236600665</v>
      </c>
      <c r="G54" s="65" t="s">
        <v>1421</v>
      </c>
      <c r="H54" s="92"/>
      <c r="I54" s="92"/>
      <c r="J54" s="92"/>
      <c r="K54" s="92"/>
      <c r="L54" s="92"/>
      <c r="M54" s="92"/>
      <c r="N54" s="92"/>
      <c r="O54" s="92"/>
      <c r="P54" s="92"/>
      <c r="Q54" s="92"/>
      <c r="R54" s="92"/>
      <c r="S54" s="92"/>
      <c r="T54" s="92"/>
      <c r="U54" s="92"/>
      <c r="V54" s="92"/>
      <c r="W54" s="92"/>
      <c r="X54" s="92"/>
      <c r="Y54" s="92"/>
      <c r="Z54" s="92"/>
      <c r="AA54" s="92"/>
      <c r="AB54" s="92"/>
      <c r="AC54" s="92"/>
    </row>
    <row r="55" spans="1:29" ht="12" customHeight="1">
      <c r="A55" s="54"/>
      <c r="B55" s="54"/>
      <c r="C55" s="54"/>
      <c r="D55" s="57">
        <f>SUM(D1:D54)</f>
        <v>11893.5</v>
      </c>
      <c r="E55" s="57">
        <f t="shared" si="1"/>
        <v>419.5308682971491</v>
      </c>
      <c r="F55" s="55">
        <f>E55/16</f>
        <v>26.220679268571818</v>
      </c>
      <c r="G55" s="265" t="s">
        <v>1833</v>
      </c>
      <c r="H55" s="92"/>
      <c r="I55" s="92"/>
      <c r="J55" s="92"/>
      <c r="K55" s="92"/>
      <c r="L55" s="92"/>
      <c r="M55" s="92"/>
      <c r="N55" s="92"/>
      <c r="O55" s="92"/>
      <c r="P55" s="92"/>
      <c r="Q55" s="92"/>
      <c r="R55" s="92"/>
      <c r="S55" s="92"/>
      <c r="T55" s="92"/>
      <c r="U55" s="92"/>
      <c r="V55" s="92"/>
      <c r="W55" s="92"/>
      <c r="X55" s="92"/>
      <c r="Y55" s="92"/>
      <c r="Z55" s="92"/>
      <c r="AA55" s="92"/>
      <c r="AB55" s="92"/>
      <c r="AC55" s="92"/>
    </row>
    <row r="56" spans="1:29" ht="17.25" customHeight="1">
      <c r="A56" s="54"/>
      <c r="B56" s="54"/>
      <c r="C56" s="54"/>
      <c r="D56" s="57"/>
      <c r="E56" s="57"/>
      <c r="F56" s="55"/>
      <c r="G56" s="265"/>
      <c r="H56" s="92"/>
      <c r="I56" s="92"/>
      <c r="J56" s="92"/>
      <c r="K56" s="92"/>
      <c r="L56" s="92"/>
      <c r="M56" s="92"/>
      <c r="N56" s="92"/>
      <c r="O56" s="92"/>
      <c r="P56" s="92"/>
      <c r="Q56" s="92"/>
      <c r="R56" s="92"/>
      <c r="S56" s="92"/>
      <c r="T56" s="92"/>
      <c r="U56" s="92"/>
      <c r="V56" s="92"/>
      <c r="W56" s="92"/>
      <c r="X56" s="92"/>
      <c r="Y56" s="92"/>
      <c r="Z56" s="92"/>
      <c r="AA56" s="92"/>
      <c r="AB56" s="92"/>
      <c r="AC56" s="92"/>
    </row>
    <row r="57" spans="1:29" ht="17.25" customHeight="1">
      <c r="A57" s="54"/>
      <c r="B57" s="54"/>
      <c r="C57" s="54"/>
      <c r="D57" s="57"/>
      <c r="E57" s="55"/>
      <c r="F57" s="87"/>
      <c r="G57" s="265"/>
      <c r="H57" s="92"/>
      <c r="I57" s="92"/>
      <c r="J57" s="92"/>
      <c r="K57" s="92"/>
      <c r="L57" s="92"/>
      <c r="M57" s="92"/>
      <c r="N57" s="92"/>
      <c r="O57" s="92"/>
      <c r="P57" s="92"/>
      <c r="Q57" s="92"/>
      <c r="R57" s="92"/>
      <c r="S57" s="92"/>
      <c r="T57" s="92"/>
      <c r="U57" s="92"/>
      <c r="V57" s="92"/>
      <c r="W57" s="92"/>
      <c r="X57" s="92"/>
      <c r="Y57" s="92"/>
      <c r="Z57" s="92"/>
      <c r="AA57" s="92"/>
      <c r="AB57" s="92"/>
      <c r="AC57" s="92"/>
    </row>
    <row r="58" spans="1:29" ht="17.25" customHeight="1">
      <c r="A58" s="54"/>
      <c r="B58" s="54"/>
      <c r="C58" s="54"/>
      <c r="D58" s="57"/>
      <c r="E58" s="57"/>
      <c r="F58" s="55"/>
      <c r="G58" s="265"/>
      <c r="H58" s="92"/>
      <c r="I58" s="92"/>
      <c r="J58" s="92"/>
      <c r="K58" s="92"/>
      <c r="L58" s="92"/>
      <c r="M58" s="92"/>
      <c r="N58" s="92"/>
      <c r="O58" s="92"/>
      <c r="P58" s="92"/>
      <c r="Q58" s="92"/>
      <c r="R58" s="92"/>
      <c r="S58" s="92"/>
      <c r="T58" s="92"/>
      <c r="U58" s="92"/>
      <c r="V58" s="92"/>
      <c r="W58" s="92"/>
      <c r="X58" s="92"/>
      <c r="Y58" s="92"/>
      <c r="Z58" s="92"/>
      <c r="AA58" s="92"/>
      <c r="AB58" s="92"/>
      <c r="AC58" s="92"/>
    </row>
    <row r="59" spans="1:29" ht="17.25" customHeight="1">
      <c r="A59" s="54"/>
      <c r="B59" s="54"/>
      <c r="C59" s="54"/>
      <c r="D59" s="57"/>
      <c r="E59" s="57"/>
      <c r="F59" s="55"/>
      <c r="G59" s="265"/>
      <c r="H59" s="92"/>
      <c r="I59" s="92"/>
      <c r="J59" s="92"/>
      <c r="K59" s="92"/>
      <c r="L59" s="92"/>
      <c r="M59" s="92"/>
      <c r="N59" s="92"/>
      <c r="O59" s="92"/>
      <c r="P59" s="92"/>
      <c r="Q59" s="92"/>
      <c r="R59" s="92"/>
      <c r="S59" s="92"/>
      <c r="T59" s="92"/>
      <c r="U59" s="92"/>
      <c r="V59" s="92"/>
      <c r="W59" s="92"/>
      <c r="X59" s="92"/>
      <c r="Y59" s="92"/>
      <c r="Z59" s="92"/>
      <c r="AA59" s="92"/>
      <c r="AB59" s="92"/>
      <c r="AC59" s="92"/>
    </row>
    <row r="60" spans="1:29" ht="17.25" customHeight="1">
      <c r="A60" s="54"/>
      <c r="B60" s="54"/>
      <c r="C60" s="54"/>
      <c r="D60" s="57"/>
      <c r="E60" s="57"/>
      <c r="F60" s="55"/>
      <c r="G60" s="265"/>
      <c r="H60" s="92"/>
      <c r="I60" s="92"/>
      <c r="J60" s="92"/>
      <c r="K60" s="92"/>
      <c r="L60" s="92"/>
      <c r="M60" s="92"/>
      <c r="N60" s="92"/>
      <c r="O60" s="92"/>
      <c r="P60" s="92"/>
      <c r="Q60" s="92"/>
      <c r="R60" s="92"/>
      <c r="S60" s="92"/>
      <c r="T60" s="92"/>
      <c r="U60" s="92"/>
      <c r="V60" s="92"/>
      <c r="W60" s="92"/>
      <c r="X60" s="92"/>
      <c r="Y60" s="92"/>
      <c r="Z60" s="92"/>
      <c r="AA60" s="92"/>
      <c r="AB60" s="92"/>
      <c r="AC60" s="92"/>
    </row>
    <row r="61" spans="1:29" ht="17.25" customHeight="1">
      <c r="A61" s="54"/>
      <c r="B61" s="54"/>
      <c r="C61" s="54"/>
      <c r="D61" s="57"/>
      <c r="E61" s="57"/>
      <c r="F61" s="55"/>
      <c r="G61" s="265"/>
      <c r="H61" s="92"/>
      <c r="I61" s="92"/>
      <c r="J61" s="92"/>
      <c r="K61" s="92"/>
      <c r="L61" s="92"/>
      <c r="M61" s="92"/>
      <c r="N61" s="92"/>
      <c r="O61" s="92"/>
      <c r="P61" s="92"/>
      <c r="Q61" s="92"/>
      <c r="R61" s="92"/>
      <c r="S61" s="92"/>
      <c r="T61" s="92"/>
      <c r="U61" s="92"/>
      <c r="V61" s="92"/>
      <c r="W61" s="92"/>
      <c r="X61" s="92"/>
      <c r="Y61" s="92"/>
      <c r="Z61" s="92"/>
      <c r="AA61" s="92"/>
      <c r="AB61" s="92"/>
      <c r="AC61" s="92"/>
    </row>
    <row r="62" spans="1:29" ht="17.25" customHeight="1">
      <c r="A62" s="54"/>
      <c r="B62" s="54"/>
      <c r="C62" s="54"/>
      <c r="D62" s="57"/>
      <c r="E62" s="57"/>
      <c r="F62" s="55"/>
      <c r="G62" s="265"/>
      <c r="H62" s="92"/>
      <c r="I62" s="92"/>
      <c r="J62" s="92"/>
      <c r="K62" s="92"/>
      <c r="L62" s="92"/>
      <c r="M62" s="92"/>
      <c r="N62" s="92"/>
      <c r="O62" s="92"/>
      <c r="P62" s="92"/>
      <c r="Q62" s="92"/>
      <c r="R62" s="92"/>
      <c r="S62" s="92"/>
      <c r="T62" s="92"/>
      <c r="U62" s="92"/>
      <c r="V62" s="92"/>
      <c r="W62" s="92"/>
      <c r="X62" s="92"/>
      <c r="Y62" s="92"/>
      <c r="Z62" s="92"/>
      <c r="AA62" s="92"/>
      <c r="AB62" s="92"/>
      <c r="AC62" s="92"/>
    </row>
    <row r="63" spans="1:29" ht="17.25" customHeight="1">
      <c r="A63" s="54"/>
      <c r="B63" s="54"/>
      <c r="C63" s="54"/>
      <c r="D63" s="57"/>
      <c r="E63" s="57"/>
      <c r="F63" s="55"/>
      <c r="G63" s="265"/>
      <c r="H63" s="92"/>
      <c r="I63" s="92"/>
      <c r="J63" s="92"/>
      <c r="K63" s="92"/>
      <c r="L63" s="92"/>
      <c r="M63" s="92"/>
      <c r="N63" s="92"/>
      <c r="O63" s="92"/>
      <c r="P63" s="92"/>
      <c r="Q63" s="92"/>
      <c r="R63" s="92"/>
      <c r="S63" s="92"/>
      <c r="T63" s="92"/>
      <c r="U63" s="92"/>
      <c r="V63" s="92"/>
      <c r="W63" s="92"/>
      <c r="X63" s="92"/>
      <c r="Y63" s="92"/>
      <c r="Z63" s="92"/>
      <c r="AA63" s="92"/>
      <c r="AB63" s="92"/>
      <c r="AC63" s="92"/>
    </row>
    <row r="64" spans="1:29" ht="17.25" customHeight="1">
      <c r="A64" s="54"/>
      <c r="B64" s="54"/>
      <c r="C64" s="54"/>
      <c r="D64" s="57"/>
      <c r="E64" s="57"/>
      <c r="F64" s="55"/>
      <c r="G64" s="265"/>
      <c r="H64" s="92"/>
      <c r="I64" s="92"/>
      <c r="J64" s="92"/>
      <c r="K64" s="92"/>
      <c r="L64" s="92"/>
      <c r="M64" s="92"/>
      <c r="N64" s="92"/>
      <c r="O64" s="92"/>
      <c r="P64" s="92"/>
      <c r="Q64" s="92"/>
      <c r="R64" s="92"/>
      <c r="S64" s="92"/>
      <c r="T64" s="92"/>
      <c r="U64" s="92"/>
      <c r="V64" s="92"/>
      <c r="W64" s="92"/>
      <c r="X64" s="92"/>
      <c r="Y64" s="92"/>
      <c r="Z64" s="92"/>
      <c r="AA64" s="92"/>
      <c r="AB64" s="92"/>
      <c r="AC64" s="92"/>
    </row>
    <row r="65" spans="1:29" ht="17.25" customHeight="1">
      <c r="A65" s="54"/>
      <c r="B65" s="54"/>
      <c r="C65" s="54"/>
      <c r="D65" s="57"/>
      <c r="E65" s="57"/>
      <c r="F65" s="55"/>
      <c r="G65" s="265"/>
      <c r="H65" s="92"/>
      <c r="I65" s="92"/>
      <c r="J65" s="92"/>
      <c r="K65" s="92"/>
      <c r="L65" s="92"/>
      <c r="M65" s="92"/>
      <c r="N65" s="92"/>
      <c r="O65" s="92"/>
      <c r="P65" s="92"/>
      <c r="Q65" s="92"/>
      <c r="R65" s="92"/>
      <c r="S65" s="92"/>
      <c r="T65" s="92"/>
      <c r="U65" s="92"/>
      <c r="V65" s="92"/>
      <c r="W65" s="92"/>
      <c r="X65" s="92"/>
      <c r="Y65" s="92"/>
      <c r="Z65" s="92"/>
      <c r="AA65" s="92"/>
      <c r="AB65" s="92"/>
      <c r="AC65" s="92"/>
    </row>
    <row r="66" spans="1:29" ht="12" customHeight="1">
      <c r="A66" s="54"/>
      <c r="B66" s="54"/>
      <c r="C66" s="54"/>
      <c r="D66" s="57"/>
      <c r="E66" s="57"/>
      <c r="F66" s="55"/>
      <c r="G66" s="265" t="s">
        <v>1025</v>
      </c>
      <c r="H66" s="92"/>
      <c r="I66" s="92"/>
      <c r="J66" s="92"/>
      <c r="K66" s="92"/>
      <c r="L66" s="92"/>
      <c r="M66" s="92"/>
      <c r="N66" s="92"/>
      <c r="O66" s="92"/>
      <c r="P66" s="92"/>
      <c r="Q66" s="92"/>
      <c r="R66" s="92"/>
      <c r="S66" s="92"/>
      <c r="T66" s="92"/>
      <c r="U66" s="92"/>
      <c r="V66" s="92"/>
      <c r="W66" s="92"/>
      <c r="X66" s="92"/>
      <c r="Y66" s="92"/>
      <c r="Z66" s="92"/>
      <c r="AA66" s="92"/>
      <c r="AB66" s="92"/>
      <c r="AC66" s="92"/>
    </row>
    <row r="67" spans="1:29" ht="12.75" customHeight="1">
      <c r="A67" s="54"/>
      <c r="B67" s="54"/>
      <c r="C67" s="54" t="s">
        <v>2009</v>
      </c>
      <c r="D67" s="54">
        <v>29</v>
      </c>
      <c r="E67" s="55">
        <f t="shared" si="1"/>
        <v>1.0229449010482468</v>
      </c>
      <c r="F67" s="54"/>
      <c r="G67" s="65" t="s">
        <v>657</v>
      </c>
      <c r="H67" s="92"/>
      <c r="I67" s="92"/>
      <c r="J67" s="92"/>
      <c r="K67" s="92"/>
      <c r="L67" s="92"/>
      <c r="M67" s="92"/>
      <c r="N67" s="92"/>
      <c r="O67" s="92"/>
      <c r="P67" s="92"/>
      <c r="Q67" s="92"/>
      <c r="R67" s="92"/>
      <c r="S67" s="92"/>
      <c r="T67" s="92"/>
      <c r="U67" s="92"/>
      <c r="V67" s="92"/>
      <c r="W67" s="92"/>
      <c r="X67" s="92"/>
      <c r="Y67" s="92"/>
      <c r="Z67" s="92"/>
      <c r="AA67" s="92"/>
      <c r="AB67" s="92"/>
      <c r="AC67" s="92"/>
    </row>
    <row r="68" spans="1:29" ht="12.75" customHeight="1">
      <c r="A68" s="54"/>
      <c r="B68" s="54"/>
      <c r="C68" s="147" t="s">
        <v>2009</v>
      </c>
      <c r="D68" s="57">
        <v>270</v>
      </c>
      <c r="E68" s="55">
        <f t="shared" si="1"/>
        <v>9.52396976838023</v>
      </c>
      <c r="F68" s="55">
        <f>E68/16</f>
        <v>0.5952481105237644</v>
      </c>
      <c r="G68" s="263" t="s">
        <v>34</v>
      </c>
      <c r="H68" s="92"/>
      <c r="I68" s="92"/>
      <c r="J68" s="92"/>
      <c r="K68" s="92"/>
      <c r="L68" s="92"/>
      <c r="M68" s="92"/>
      <c r="N68" s="92"/>
      <c r="O68" s="92"/>
      <c r="P68" s="92"/>
      <c r="Q68" s="92"/>
      <c r="R68" s="92"/>
      <c r="S68" s="92"/>
      <c r="T68" s="92"/>
      <c r="U68" s="92"/>
      <c r="V68" s="92"/>
      <c r="W68" s="92"/>
      <c r="X68" s="92"/>
      <c r="Y68" s="92"/>
      <c r="Z68" s="92"/>
      <c r="AA68" s="92"/>
      <c r="AB68" s="92"/>
      <c r="AC68" s="92"/>
    </row>
    <row r="69" spans="1:29" ht="12.75" customHeight="1">
      <c r="A69" s="54"/>
      <c r="B69" s="54"/>
      <c r="C69" s="54" t="s">
        <v>2009</v>
      </c>
      <c r="D69" s="57">
        <v>324</v>
      </c>
      <c r="E69" s="55">
        <f t="shared" si="1"/>
        <v>11.428763722056276</v>
      </c>
      <c r="F69" s="55">
        <f>E69/16</f>
        <v>0.7142977326285173</v>
      </c>
      <c r="G69" s="65" t="s">
        <v>2014</v>
      </c>
      <c r="H69" s="134"/>
      <c r="I69" s="92"/>
      <c r="J69" s="92"/>
      <c r="K69" s="92"/>
      <c r="L69" s="92"/>
      <c r="M69" s="92"/>
      <c r="N69" s="92"/>
      <c r="O69" s="92"/>
      <c r="P69" s="92"/>
      <c r="Q69" s="92"/>
      <c r="R69" s="92"/>
      <c r="S69" s="92"/>
      <c r="T69" s="92"/>
      <c r="U69" s="92"/>
      <c r="V69" s="92"/>
      <c r="W69" s="92"/>
      <c r="X69" s="92"/>
      <c r="Y69" s="92"/>
      <c r="Z69" s="92"/>
      <c r="AA69" s="92"/>
      <c r="AB69" s="92"/>
      <c r="AC69" s="92"/>
    </row>
    <row r="70" spans="1:29" ht="12.75" customHeight="1">
      <c r="A70" s="54"/>
      <c r="B70" s="54"/>
      <c r="C70" s="147" t="s">
        <v>2009</v>
      </c>
      <c r="D70" s="54">
        <v>50</v>
      </c>
      <c r="E70" s="55">
        <f t="shared" si="1"/>
        <v>1.763698105255598</v>
      </c>
      <c r="F70" s="54"/>
      <c r="G70" s="65" t="s">
        <v>137</v>
      </c>
      <c r="H70" s="92"/>
      <c r="I70" s="92"/>
      <c r="J70" s="92"/>
      <c r="K70" s="92"/>
      <c r="L70" s="92"/>
      <c r="M70" s="92"/>
      <c r="N70" s="92"/>
      <c r="O70" s="92"/>
      <c r="P70" s="92"/>
      <c r="Q70" s="92"/>
      <c r="R70" s="92"/>
      <c r="S70" s="92"/>
      <c r="T70" s="92"/>
      <c r="U70" s="92"/>
      <c r="V70" s="92"/>
      <c r="W70" s="92"/>
      <c r="X70" s="92"/>
      <c r="Y70" s="92"/>
      <c r="Z70" s="92"/>
      <c r="AA70" s="92"/>
      <c r="AB70" s="92"/>
      <c r="AC70" s="92"/>
    </row>
    <row r="71" spans="1:9" ht="12.75" customHeight="1">
      <c r="A71" s="54"/>
      <c r="B71" s="54"/>
      <c r="C71" s="147" t="s">
        <v>2009</v>
      </c>
      <c r="D71" s="57">
        <v>219</v>
      </c>
      <c r="E71" s="55">
        <f t="shared" si="1"/>
        <v>7.724997701019519</v>
      </c>
      <c r="F71" s="55">
        <f>E71/16</f>
        <v>0.48281235631371994</v>
      </c>
      <c r="G71" s="65" t="s">
        <v>1904</v>
      </c>
      <c r="H71" s="134"/>
      <c r="I71" s="92"/>
    </row>
    <row r="72" spans="1:29" ht="12.75" customHeight="1">
      <c r="A72" s="54"/>
      <c r="B72" s="54"/>
      <c r="C72" s="147" t="s">
        <v>2009</v>
      </c>
      <c r="D72" s="54">
        <v>35</v>
      </c>
      <c r="E72" s="55">
        <f t="shared" si="1"/>
        <v>1.2345886736789187</v>
      </c>
      <c r="F72" s="55"/>
      <c r="G72" s="259" t="s">
        <v>322</v>
      </c>
      <c r="H72" s="92"/>
      <c r="I72" s="92"/>
      <c r="J72" s="92"/>
      <c r="K72" s="92"/>
      <c r="L72" s="92"/>
      <c r="M72" s="92"/>
      <c r="N72" s="92"/>
      <c r="O72" s="92"/>
      <c r="P72" s="92"/>
      <c r="Q72" s="92"/>
      <c r="R72" s="92"/>
      <c r="S72" s="92"/>
      <c r="T72" s="92"/>
      <c r="U72" s="92"/>
      <c r="V72" s="92"/>
      <c r="W72" s="92"/>
      <c r="X72" s="92"/>
      <c r="Y72" s="92"/>
      <c r="Z72" s="92"/>
      <c r="AA72" s="92"/>
      <c r="AB72" s="92"/>
      <c r="AC72" s="92"/>
    </row>
    <row r="73" spans="1:29" ht="12.75" customHeight="1">
      <c r="A73" s="54"/>
      <c r="B73" s="54"/>
      <c r="C73" s="147" t="s">
        <v>2009</v>
      </c>
      <c r="D73" s="57">
        <v>40</v>
      </c>
      <c r="E73" s="55">
        <f t="shared" si="1"/>
        <v>1.4109584842044784</v>
      </c>
      <c r="F73" s="55"/>
      <c r="G73" s="257" t="s">
        <v>1172</v>
      </c>
      <c r="H73" s="92"/>
      <c r="I73" s="92"/>
      <c r="J73" s="92"/>
      <c r="K73" s="92"/>
      <c r="L73" s="92"/>
      <c r="M73" s="92"/>
      <c r="N73" s="92"/>
      <c r="O73" s="92"/>
      <c r="P73" s="92"/>
      <c r="Q73" s="92"/>
      <c r="R73" s="92"/>
      <c r="S73" s="92"/>
      <c r="T73" s="92"/>
      <c r="U73" s="92"/>
      <c r="V73" s="92"/>
      <c r="W73" s="92"/>
      <c r="X73" s="92"/>
      <c r="Y73" s="92"/>
      <c r="Z73" s="92"/>
      <c r="AA73" s="92"/>
      <c r="AB73" s="92"/>
      <c r="AC73" s="92"/>
    </row>
    <row r="74" spans="1:29" ht="12.75" customHeight="1">
      <c r="A74" s="54"/>
      <c r="B74" s="54"/>
      <c r="C74" s="147" t="s">
        <v>2009</v>
      </c>
      <c r="D74" s="147">
        <v>23</v>
      </c>
      <c r="E74" s="55">
        <f t="shared" si="1"/>
        <v>0.8113011284175751</v>
      </c>
      <c r="F74" s="160"/>
      <c r="G74" s="258" t="s">
        <v>321</v>
      </c>
      <c r="H74" s="92"/>
      <c r="I74" s="92"/>
      <c r="J74" s="92"/>
      <c r="K74" s="92"/>
      <c r="L74" s="92"/>
      <c r="M74" s="92"/>
      <c r="N74" s="92"/>
      <c r="O74" s="92"/>
      <c r="P74" s="92"/>
      <c r="Q74" s="92"/>
      <c r="R74" s="92"/>
      <c r="S74" s="92"/>
      <c r="T74" s="92"/>
      <c r="U74" s="92"/>
      <c r="V74" s="92"/>
      <c r="W74" s="92"/>
      <c r="X74" s="92"/>
      <c r="Y74" s="92"/>
      <c r="Z74" s="92"/>
      <c r="AA74" s="92"/>
      <c r="AB74" s="92"/>
      <c r="AC74" s="92"/>
    </row>
    <row r="75" spans="1:29" ht="12.75" customHeight="1">
      <c r="A75" s="54"/>
      <c r="B75" s="54"/>
      <c r="C75" s="147" t="s">
        <v>2009</v>
      </c>
      <c r="D75" s="57">
        <v>60</v>
      </c>
      <c r="E75" s="55">
        <f t="shared" si="1"/>
        <v>2.116437726306718</v>
      </c>
      <c r="F75" s="55"/>
      <c r="G75" s="257" t="s">
        <v>24</v>
      </c>
      <c r="H75" s="92"/>
      <c r="I75" s="92"/>
      <c r="J75" s="92"/>
      <c r="K75" s="92"/>
      <c r="L75" s="92"/>
      <c r="M75" s="92"/>
      <c r="N75" s="92"/>
      <c r="O75" s="92"/>
      <c r="P75" s="92"/>
      <c r="Q75" s="92"/>
      <c r="R75" s="92"/>
      <c r="S75" s="92"/>
      <c r="T75" s="92"/>
      <c r="U75" s="92"/>
      <c r="V75" s="92"/>
      <c r="W75" s="92"/>
      <c r="X75" s="92"/>
      <c r="Y75" s="92"/>
      <c r="Z75" s="92"/>
      <c r="AA75" s="92"/>
      <c r="AB75" s="92"/>
      <c r="AC75" s="92"/>
    </row>
    <row r="76" spans="1:29" ht="12.75" customHeight="1" thickBot="1">
      <c r="A76" s="54"/>
      <c r="B76" s="54"/>
      <c r="C76" s="67" t="s">
        <v>2009</v>
      </c>
      <c r="D76" s="57">
        <v>1453</v>
      </c>
      <c r="E76" s="55">
        <f t="shared" si="1"/>
        <v>51.25306693872768</v>
      </c>
      <c r="F76" s="55">
        <f>E76/16</f>
        <v>3.20331668367048</v>
      </c>
      <c r="G76" s="257" t="s">
        <v>25</v>
      </c>
      <c r="H76" s="92"/>
      <c r="I76" s="92"/>
      <c r="J76" s="92"/>
      <c r="K76" s="92"/>
      <c r="L76" s="92"/>
      <c r="M76" s="92"/>
      <c r="N76" s="92"/>
      <c r="O76" s="92"/>
      <c r="P76" s="92"/>
      <c r="Q76" s="92"/>
      <c r="R76" s="92"/>
      <c r="S76" s="92"/>
      <c r="T76" s="92"/>
      <c r="U76" s="92"/>
      <c r="V76" s="92"/>
      <c r="W76" s="92"/>
      <c r="X76" s="92"/>
      <c r="Y76" s="92"/>
      <c r="Z76" s="92"/>
      <c r="AA76" s="92"/>
      <c r="AB76" s="92"/>
      <c r="AC76" s="92"/>
    </row>
    <row r="77" spans="1:29" ht="12.75" customHeight="1" thickBot="1">
      <c r="A77" s="54"/>
      <c r="B77" s="132"/>
      <c r="C77" s="159"/>
      <c r="D77" s="103">
        <v>57</v>
      </c>
      <c r="E77" s="55">
        <f t="shared" si="1"/>
        <v>2.010615839991382</v>
      </c>
      <c r="F77" s="55"/>
      <c r="G77" s="65" t="s">
        <v>1194</v>
      </c>
      <c r="H77" s="134"/>
      <c r="I77" s="92"/>
      <c r="J77" s="92"/>
      <c r="K77" s="92"/>
      <c r="L77" s="92"/>
      <c r="M77" s="92"/>
      <c r="N77" s="92"/>
      <c r="O77" s="92"/>
      <c r="P77" s="92"/>
      <c r="Q77" s="92"/>
      <c r="R77" s="92"/>
      <c r="S77" s="92"/>
      <c r="T77" s="92"/>
      <c r="U77" s="92"/>
      <c r="V77" s="92"/>
      <c r="W77" s="92"/>
      <c r="X77" s="92"/>
      <c r="Y77" s="92"/>
      <c r="Z77" s="92"/>
      <c r="AA77" s="92"/>
      <c r="AB77" s="92"/>
      <c r="AC77" s="92"/>
    </row>
    <row r="78" spans="1:29" ht="12.75" customHeight="1">
      <c r="A78" s="54"/>
      <c r="B78" s="54"/>
      <c r="C78" s="184"/>
      <c r="D78" s="57">
        <f>SUM(D67:D77)</f>
        <v>2560</v>
      </c>
      <c r="E78" s="55">
        <f t="shared" si="1"/>
        <v>90.30134298908662</v>
      </c>
      <c r="F78" s="55">
        <f>E78/16</f>
        <v>5.643833936817914</v>
      </c>
      <c r="G78" s="280" t="s">
        <v>970</v>
      </c>
      <c r="H78" s="92"/>
      <c r="I78" s="92"/>
      <c r="J78" s="92"/>
      <c r="K78" s="92"/>
      <c r="L78" s="92"/>
      <c r="M78" s="92"/>
      <c r="N78" s="92"/>
      <c r="O78" s="92"/>
      <c r="P78" s="92"/>
      <c r="Q78" s="92"/>
      <c r="R78" s="92"/>
      <c r="S78" s="92"/>
      <c r="T78" s="92"/>
      <c r="U78" s="92"/>
      <c r="V78" s="92"/>
      <c r="W78" s="92"/>
      <c r="X78" s="92"/>
      <c r="Y78" s="92"/>
      <c r="Z78" s="92"/>
      <c r="AA78" s="92"/>
      <c r="AB78" s="92"/>
      <c r="AC78" s="92"/>
    </row>
    <row r="79" spans="1:29" ht="12.75" customHeight="1">
      <c r="A79" s="54"/>
      <c r="B79" s="66"/>
      <c r="C79" s="200"/>
      <c r="D79" s="57"/>
      <c r="E79" s="55"/>
      <c r="F79" s="235"/>
      <c r="G79" s="126"/>
      <c r="H79" s="92"/>
      <c r="I79" s="92"/>
      <c r="J79" s="92"/>
      <c r="K79" s="92"/>
      <c r="L79" s="92"/>
      <c r="M79" s="92"/>
      <c r="N79" s="92"/>
      <c r="O79" s="92"/>
      <c r="P79" s="92"/>
      <c r="Q79" s="92"/>
      <c r="R79" s="92"/>
      <c r="S79" s="92"/>
      <c r="T79" s="92"/>
      <c r="U79" s="92"/>
      <c r="V79" s="92"/>
      <c r="W79" s="92"/>
      <c r="X79" s="92"/>
      <c r="Y79" s="92"/>
      <c r="Z79" s="92"/>
      <c r="AA79" s="92"/>
      <c r="AB79" s="92"/>
      <c r="AC79" s="92"/>
    </row>
    <row r="80" spans="1:29" ht="12.75" customHeight="1">
      <c r="A80" s="54"/>
      <c r="B80" s="66"/>
      <c r="C80" s="200"/>
      <c r="D80" s="57"/>
      <c r="E80" s="55"/>
      <c r="F80" s="235"/>
      <c r="G80" s="280" t="s">
        <v>32</v>
      </c>
      <c r="H80" s="92"/>
      <c r="I80" s="92"/>
      <c r="J80" s="92"/>
      <c r="K80" s="92"/>
      <c r="L80" s="92"/>
      <c r="M80" s="92"/>
      <c r="N80" s="92"/>
      <c r="O80" s="92"/>
      <c r="P80" s="92"/>
      <c r="Q80" s="92"/>
      <c r="R80" s="92"/>
      <c r="S80" s="92"/>
      <c r="T80" s="92"/>
      <c r="U80" s="92"/>
      <c r="V80" s="92"/>
      <c r="W80" s="92"/>
      <c r="X80" s="92"/>
      <c r="Y80" s="92"/>
      <c r="Z80" s="92"/>
      <c r="AA80" s="92"/>
      <c r="AB80" s="92"/>
      <c r="AC80" s="92"/>
    </row>
    <row r="81" spans="1:29" ht="12.75" customHeight="1">
      <c r="A81" s="54"/>
      <c r="B81" s="66"/>
      <c r="C81" s="204" t="s">
        <v>1717</v>
      </c>
      <c r="D81" s="54"/>
      <c r="E81" s="55" t="s">
        <v>1622</v>
      </c>
      <c r="F81" s="132"/>
      <c r="G81" s="92"/>
      <c r="H81" s="92"/>
      <c r="I81" s="92"/>
      <c r="J81" s="92"/>
      <c r="K81" s="92"/>
      <c r="L81" s="92"/>
      <c r="M81" s="92"/>
      <c r="N81" s="92"/>
      <c r="O81" s="92"/>
      <c r="P81" s="92"/>
      <c r="Q81" s="92"/>
      <c r="R81" s="92"/>
      <c r="S81" s="92"/>
      <c r="T81" s="92"/>
      <c r="U81" s="92"/>
      <c r="V81" s="92"/>
      <c r="W81" s="92"/>
      <c r="X81" s="92"/>
      <c r="Y81" s="92"/>
      <c r="Z81" s="92"/>
      <c r="AA81" s="92"/>
      <c r="AB81" s="92"/>
      <c r="AC81" s="92"/>
    </row>
    <row r="82" spans="1:29" ht="12.75" customHeight="1">
      <c r="A82" s="54"/>
      <c r="B82" s="66"/>
      <c r="C82" s="114" t="s">
        <v>1756</v>
      </c>
      <c r="D82" s="54"/>
      <c r="E82" s="55" t="s">
        <v>974</v>
      </c>
      <c r="F82" s="132"/>
      <c r="G82" s="92"/>
      <c r="H82" s="92"/>
      <c r="I82" s="92"/>
      <c r="J82" s="92"/>
      <c r="K82" s="92"/>
      <c r="L82" s="92"/>
      <c r="M82" s="92"/>
      <c r="N82" s="92"/>
      <c r="O82" s="92"/>
      <c r="P82" s="92"/>
      <c r="Q82" s="92"/>
      <c r="R82" s="92"/>
      <c r="S82" s="92"/>
      <c r="T82" s="92"/>
      <c r="U82" s="92"/>
      <c r="V82" s="92"/>
      <c r="W82" s="92"/>
      <c r="X82" s="92"/>
      <c r="Y82" s="92"/>
      <c r="Z82" s="92"/>
      <c r="AA82" s="92"/>
      <c r="AB82" s="92"/>
      <c r="AC82" s="92"/>
    </row>
    <row r="83" spans="1:29" ht="12.75" customHeight="1">
      <c r="A83" s="54"/>
      <c r="B83" s="66"/>
      <c r="C83" s="114" t="s">
        <v>1717</v>
      </c>
      <c r="D83" s="54"/>
      <c r="E83" s="55" t="s">
        <v>1906</v>
      </c>
      <c r="F83" s="207"/>
      <c r="G83" s="92"/>
      <c r="H83" s="92"/>
      <c r="I83" s="92"/>
      <c r="J83" s="92"/>
      <c r="K83" s="92"/>
      <c r="L83" s="92"/>
      <c r="M83" s="92"/>
      <c r="N83" s="92"/>
      <c r="O83" s="92"/>
      <c r="P83" s="92"/>
      <c r="Q83" s="92"/>
      <c r="R83" s="92"/>
      <c r="S83" s="92"/>
      <c r="T83" s="92"/>
      <c r="U83" s="92"/>
      <c r="V83" s="92"/>
      <c r="W83" s="92"/>
      <c r="X83" s="92"/>
      <c r="Y83" s="92"/>
      <c r="Z83" s="92"/>
      <c r="AA83" s="92"/>
      <c r="AB83" s="92"/>
      <c r="AC83" s="92"/>
    </row>
    <row r="84" spans="1:29" ht="12.75" customHeight="1">
      <c r="A84" s="54"/>
      <c r="B84" s="66"/>
      <c r="C84" s="204" t="s">
        <v>32</v>
      </c>
      <c r="D84" s="54"/>
      <c r="E84" s="292" t="s">
        <v>975</v>
      </c>
      <c r="F84" s="92"/>
      <c r="G84" s="92"/>
      <c r="H84" s="92"/>
      <c r="I84" s="92"/>
      <c r="J84" s="92"/>
      <c r="K84" s="92"/>
      <c r="L84" s="92"/>
      <c r="M84" s="92"/>
      <c r="N84" s="92"/>
      <c r="O84" s="92"/>
      <c r="P84" s="92"/>
      <c r="Q84" s="92"/>
      <c r="R84" s="92"/>
      <c r="S84" s="92"/>
      <c r="T84" s="92"/>
      <c r="U84" s="92"/>
      <c r="V84" s="92"/>
      <c r="W84" s="92"/>
      <c r="X84" s="92"/>
      <c r="Y84" s="92"/>
      <c r="Z84" s="92"/>
      <c r="AA84" s="92"/>
      <c r="AB84" s="92"/>
      <c r="AC84" s="92"/>
    </row>
    <row r="85" spans="1:29" ht="12.75" customHeight="1">
      <c r="A85" s="54"/>
      <c r="B85" s="66"/>
      <c r="C85" s="204" t="s">
        <v>265</v>
      </c>
      <c r="D85" s="54"/>
      <c r="E85" s="292" t="s">
        <v>1757</v>
      </c>
      <c r="F85" s="92"/>
      <c r="G85" s="92"/>
      <c r="H85" s="92"/>
      <c r="I85" s="92"/>
      <c r="J85" s="92"/>
      <c r="K85" s="92"/>
      <c r="L85" s="92"/>
      <c r="M85" s="92"/>
      <c r="N85" s="92"/>
      <c r="O85" s="92"/>
      <c r="P85" s="92"/>
      <c r="Q85" s="92"/>
      <c r="R85" s="92"/>
      <c r="S85" s="92"/>
      <c r="T85" s="92"/>
      <c r="U85" s="92"/>
      <c r="V85" s="92"/>
      <c r="W85" s="92"/>
      <c r="X85" s="92"/>
      <c r="Y85" s="92"/>
      <c r="Z85" s="92"/>
      <c r="AA85" s="92"/>
      <c r="AB85" s="92"/>
      <c r="AC85" s="92"/>
    </row>
    <row r="86" spans="1:29" ht="12.75" customHeight="1">
      <c r="A86" s="54"/>
      <c r="B86" s="66"/>
      <c r="C86" s="204" t="s">
        <v>265</v>
      </c>
      <c r="D86" s="54"/>
      <c r="E86" s="160" t="s">
        <v>221</v>
      </c>
      <c r="F86" s="245"/>
      <c r="G86" s="92"/>
      <c r="H86" s="92"/>
      <c r="I86" s="92"/>
      <c r="J86" s="92"/>
      <c r="K86" s="92"/>
      <c r="L86" s="92"/>
      <c r="M86" s="92"/>
      <c r="N86" s="92"/>
      <c r="O86" s="92"/>
      <c r="P86" s="92"/>
      <c r="Q86" s="92"/>
      <c r="R86" s="92"/>
      <c r="S86" s="92"/>
      <c r="T86" s="92"/>
      <c r="U86" s="92"/>
      <c r="V86" s="92"/>
      <c r="W86" s="92"/>
      <c r="X86" s="92"/>
      <c r="Y86" s="92"/>
      <c r="Z86" s="92"/>
      <c r="AA86" s="92"/>
      <c r="AB86" s="92"/>
      <c r="AC86" s="92"/>
    </row>
    <row r="87" spans="1:29" ht="12.75" customHeight="1">
      <c r="A87" s="54"/>
      <c r="B87" s="66"/>
      <c r="C87" s="204" t="s">
        <v>265</v>
      </c>
      <c r="D87" s="54"/>
      <c r="E87" s="160" t="s">
        <v>1330</v>
      </c>
      <c r="F87" s="245"/>
      <c r="G87" s="92"/>
      <c r="H87" s="92"/>
      <c r="I87" s="92"/>
      <c r="J87" s="92"/>
      <c r="K87" s="92"/>
      <c r="L87" s="92"/>
      <c r="M87" s="92"/>
      <c r="N87" s="92"/>
      <c r="O87" s="92"/>
      <c r="P87" s="92"/>
      <c r="Q87" s="92"/>
      <c r="R87" s="92"/>
      <c r="S87" s="92"/>
      <c r="T87" s="92"/>
      <c r="U87" s="92"/>
      <c r="V87" s="92"/>
      <c r="W87" s="92"/>
      <c r="X87" s="92"/>
      <c r="Y87" s="92"/>
      <c r="Z87" s="92"/>
      <c r="AA87" s="92"/>
      <c r="AB87" s="92"/>
      <c r="AC87" s="92"/>
    </row>
    <row r="88" spans="1:29" ht="12.75" customHeight="1">
      <c r="A88" s="54"/>
      <c r="B88" s="66"/>
      <c r="C88" s="204" t="s">
        <v>265</v>
      </c>
      <c r="D88" s="54"/>
      <c r="E88" s="160" t="s">
        <v>1118</v>
      </c>
      <c r="F88" s="132"/>
      <c r="G88" s="92"/>
      <c r="H88" s="92"/>
      <c r="I88" s="92"/>
      <c r="J88" s="92"/>
      <c r="K88" s="92"/>
      <c r="L88" s="92"/>
      <c r="M88" s="92"/>
      <c r="N88" s="92"/>
      <c r="O88" s="92"/>
      <c r="P88" s="92"/>
      <c r="Q88" s="92"/>
      <c r="R88" s="92"/>
      <c r="S88" s="92"/>
      <c r="T88" s="92"/>
      <c r="U88" s="92"/>
      <c r="V88" s="92"/>
      <c r="W88" s="92"/>
      <c r="X88" s="92"/>
      <c r="Y88" s="92"/>
      <c r="Z88" s="92"/>
      <c r="AA88" s="92"/>
      <c r="AB88" s="92"/>
      <c r="AC88" s="92"/>
    </row>
    <row r="89" spans="1:29" ht="12.75" customHeight="1">
      <c r="A89" s="54"/>
      <c r="B89" s="66"/>
      <c r="C89" s="204" t="s">
        <v>265</v>
      </c>
      <c r="D89" s="54"/>
      <c r="E89" s="160" t="s">
        <v>1758</v>
      </c>
      <c r="F89" s="132"/>
      <c r="G89" s="92"/>
      <c r="H89" s="92"/>
      <c r="I89" s="92"/>
      <c r="J89" s="92"/>
      <c r="K89" s="92"/>
      <c r="L89" s="92"/>
      <c r="M89" s="92"/>
      <c r="N89" s="92"/>
      <c r="O89" s="92"/>
      <c r="P89" s="92"/>
      <c r="Q89" s="92"/>
      <c r="R89" s="92"/>
      <c r="S89" s="92"/>
      <c r="T89" s="92"/>
      <c r="U89" s="92"/>
      <c r="V89" s="92"/>
      <c r="W89" s="92"/>
      <c r="X89" s="92"/>
      <c r="Y89" s="92"/>
      <c r="Z89" s="92"/>
      <c r="AA89" s="92"/>
      <c r="AB89" s="92"/>
      <c r="AC89" s="92"/>
    </row>
    <row r="90" spans="1:29" ht="12.75" customHeight="1">
      <c r="A90" s="54"/>
      <c r="B90" s="66"/>
      <c r="C90" s="204" t="s">
        <v>265</v>
      </c>
      <c r="D90" s="54"/>
      <c r="E90" s="160" t="s">
        <v>1913</v>
      </c>
      <c r="F90" s="132"/>
      <c r="G90" s="92"/>
      <c r="H90" s="92"/>
      <c r="I90" s="92"/>
      <c r="J90" s="92"/>
      <c r="K90" s="92"/>
      <c r="L90" s="92"/>
      <c r="M90" s="92"/>
      <c r="N90" s="92"/>
      <c r="O90" s="92"/>
      <c r="P90" s="92"/>
      <c r="Q90" s="92"/>
      <c r="R90" s="92"/>
      <c r="S90" s="92"/>
      <c r="T90" s="92"/>
      <c r="U90" s="92"/>
      <c r="V90" s="92"/>
      <c r="W90" s="92"/>
      <c r="X90" s="92"/>
      <c r="Y90" s="92"/>
      <c r="Z90" s="92"/>
      <c r="AA90" s="92"/>
      <c r="AB90" s="92"/>
      <c r="AC90" s="92"/>
    </row>
    <row r="91" spans="1:29" ht="12.75" customHeight="1">
      <c r="A91" s="54"/>
      <c r="B91" s="66"/>
      <c r="C91" s="204" t="s">
        <v>265</v>
      </c>
      <c r="D91" s="54"/>
      <c r="E91" s="160" t="s">
        <v>928</v>
      </c>
      <c r="F91" s="132"/>
      <c r="G91" s="92"/>
      <c r="H91" s="92"/>
      <c r="I91" s="92"/>
      <c r="J91" s="92"/>
      <c r="K91" s="92"/>
      <c r="L91" s="92"/>
      <c r="M91" s="92"/>
      <c r="N91" s="92"/>
      <c r="O91" s="92"/>
      <c r="P91" s="92"/>
      <c r="Q91" s="92"/>
      <c r="R91" s="92"/>
      <c r="S91" s="92"/>
      <c r="T91" s="92"/>
      <c r="U91" s="92"/>
      <c r="V91" s="92"/>
      <c r="W91" s="92"/>
      <c r="X91" s="92"/>
      <c r="Y91" s="92"/>
      <c r="Z91" s="92"/>
      <c r="AA91" s="92"/>
      <c r="AB91" s="92"/>
      <c r="AC91" s="92"/>
    </row>
    <row r="92" spans="1:32" ht="12.75" customHeight="1">
      <c r="A92" s="54"/>
      <c r="B92" s="54"/>
      <c r="C92" s="54" t="s">
        <v>265</v>
      </c>
      <c r="D92" s="9">
        <v>88</v>
      </c>
      <c r="E92" s="2">
        <f>D92/28.349523</f>
        <v>3.1041086652498526</v>
      </c>
      <c r="F92" s="2">
        <f>E92/16</f>
        <v>0.1940067915781158</v>
      </c>
      <c r="G92" s="132" t="s">
        <v>1754</v>
      </c>
      <c r="I92" s="92"/>
      <c r="J92" s="92"/>
      <c r="K92" s="92"/>
      <c r="L92" s="92"/>
      <c r="M92" s="92"/>
      <c r="N92" s="92"/>
      <c r="O92" s="92"/>
      <c r="P92" s="92"/>
      <c r="Q92" s="92"/>
      <c r="R92" s="92"/>
      <c r="S92" s="92"/>
      <c r="T92" s="92"/>
      <c r="U92" s="92"/>
      <c r="V92" s="92"/>
      <c r="W92" s="92"/>
      <c r="X92" s="92"/>
      <c r="Y92" s="92"/>
      <c r="Z92" s="92"/>
      <c r="AA92" s="92"/>
      <c r="AB92" s="92"/>
      <c r="AC92" s="92"/>
      <c r="AD92" s="92"/>
      <c r="AE92" s="92"/>
      <c r="AF92" s="92"/>
    </row>
    <row r="93" spans="1:29" ht="12.75" customHeight="1">
      <c r="A93" s="54"/>
      <c r="B93" s="54"/>
      <c r="C93" s="54" t="s">
        <v>1717</v>
      </c>
      <c r="D93" s="54"/>
      <c r="E93" s="132" t="s">
        <v>1755</v>
      </c>
      <c r="F93" s="65"/>
      <c r="G93" s="92"/>
      <c r="H93" s="92"/>
      <c r="I93" s="92"/>
      <c r="J93" s="92"/>
      <c r="K93" s="92"/>
      <c r="L93" s="92"/>
      <c r="M93" s="92"/>
      <c r="N93" s="92"/>
      <c r="O93" s="92"/>
      <c r="P93" s="92"/>
      <c r="Q93" s="92"/>
      <c r="R93" s="92"/>
      <c r="S93" s="92"/>
      <c r="T93" s="92"/>
      <c r="U93" s="92"/>
      <c r="V93" s="92"/>
      <c r="W93" s="92"/>
      <c r="X93" s="92"/>
      <c r="Y93" s="92"/>
      <c r="Z93" s="92"/>
      <c r="AA93" s="92"/>
      <c r="AB93" s="92"/>
      <c r="AC93" s="92"/>
    </row>
    <row r="94" spans="1:29" ht="12.75" customHeight="1">
      <c r="A94" s="54"/>
      <c r="B94" s="66"/>
      <c r="C94" s="204" t="s">
        <v>1717</v>
      </c>
      <c r="D94" s="54"/>
      <c r="E94" s="160" t="s">
        <v>929</v>
      </c>
      <c r="F94" s="132"/>
      <c r="G94" s="92"/>
      <c r="H94" s="92"/>
      <c r="I94" s="92"/>
      <c r="J94" s="92"/>
      <c r="K94" s="92"/>
      <c r="L94" s="92"/>
      <c r="M94" s="92"/>
      <c r="N94" s="92"/>
      <c r="O94" s="92"/>
      <c r="P94" s="92"/>
      <c r="Q94" s="92"/>
      <c r="R94" s="92"/>
      <c r="S94" s="92"/>
      <c r="T94" s="92"/>
      <c r="U94" s="92"/>
      <c r="V94" s="92"/>
      <c r="W94" s="92"/>
      <c r="X94" s="92"/>
      <c r="Y94" s="92"/>
      <c r="Z94" s="92"/>
      <c r="AA94" s="92"/>
      <c r="AB94" s="92"/>
      <c r="AC94" s="92"/>
    </row>
    <row r="95" spans="1:29" ht="12.75" customHeight="1">
      <c r="A95" s="54"/>
      <c r="B95" s="66"/>
      <c r="C95" s="204" t="s">
        <v>32</v>
      </c>
      <c r="D95" s="57"/>
      <c r="E95" s="55" t="s">
        <v>884</v>
      </c>
      <c r="F95" s="235"/>
      <c r="G95" s="138"/>
      <c r="H95" s="92"/>
      <c r="I95" s="92"/>
      <c r="J95" s="92"/>
      <c r="K95" s="92"/>
      <c r="L95" s="92"/>
      <c r="M95" s="92"/>
      <c r="N95" s="92"/>
      <c r="O95" s="92"/>
      <c r="P95" s="92"/>
      <c r="Q95" s="92"/>
      <c r="R95" s="92"/>
      <c r="S95" s="92"/>
      <c r="T95" s="92"/>
      <c r="U95" s="92"/>
      <c r="V95" s="92"/>
      <c r="W95" s="92"/>
      <c r="X95" s="92"/>
      <c r="Y95" s="92"/>
      <c r="Z95" s="92"/>
      <c r="AA95" s="92"/>
      <c r="AB95" s="92"/>
      <c r="AC95" s="92"/>
    </row>
    <row r="96" spans="1:29" ht="12.75" customHeight="1">
      <c r="A96" s="54"/>
      <c r="B96" s="66"/>
      <c r="C96" s="204" t="s">
        <v>1717</v>
      </c>
      <c r="D96" s="57"/>
      <c r="E96" s="55" t="s">
        <v>931</v>
      </c>
      <c r="F96" s="235"/>
      <c r="G96" s="138"/>
      <c r="H96" s="92"/>
      <c r="I96" s="92"/>
      <c r="J96" s="92"/>
      <c r="K96" s="92"/>
      <c r="L96" s="92"/>
      <c r="M96" s="92"/>
      <c r="N96" s="92"/>
      <c r="O96" s="92"/>
      <c r="P96" s="92"/>
      <c r="Q96" s="92"/>
      <c r="R96" s="92"/>
      <c r="S96" s="92"/>
      <c r="T96" s="92"/>
      <c r="U96" s="92"/>
      <c r="V96" s="92"/>
      <c r="W96" s="92"/>
      <c r="X96" s="92"/>
      <c r="Y96" s="92"/>
      <c r="Z96" s="92"/>
      <c r="AA96" s="92"/>
      <c r="AB96" s="92"/>
      <c r="AC96" s="92"/>
    </row>
    <row r="97" spans="1:29" ht="12.75" customHeight="1">
      <c r="A97" s="54"/>
      <c r="B97" s="66"/>
      <c r="C97" s="204" t="s">
        <v>32</v>
      </c>
      <c r="D97" s="54"/>
      <c r="E97" s="55" t="s">
        <v>1663</v>
      </c>
      <c r="F97" s="132"/>
      <c r="G97" s="92"/>
      <c r="H97" s="92"/>
      <c r="I97" s="92"/>
      <c r="J97" s="92"/>
      <c r="K97" s="92"/>
      <c r="L97" s="92"/>
      <c r="M97" s="92"/>
      <c r="N97" s="92"/>
      <c r="O97" s="92"/>
      <c r="P97" s="92"/>
      <c r="Q97" s="92"/>
      <c r="R97" s="92"/>
      <c r="S97" s="92"/>
      <c r="T97" s="92"/>
      <c r="U97" s="92"/>
      <c r="V97" s="92"/>
      <c r="W97" s="92"/>
      <c r="X97" s="92"/>
      <c r="Y97" s="92"/>
      <c r="Z97" s="92"/>
      <c r="AA97" s="92"/>
      <c r="AB97" s="92"/>
      <c r="AC97" s="92"/>
    </row>
    <row r="98" spans="1:29" ht="12.75" customHeight="1">
      <c r="A98" s="54"/>
      <c r="B98" s="66"/>
      <c r="C98" s="204" t="s">
        <v>32</v>
      </c>
      <c r="D98" s="54"/>
      <c r="E98" s="55" t="s">
        <v>888</v>
      </c>
      <c r="F98" s="132"/>
      <c r="G98" s="92"/>
      <c r="H98" s="92"/>
      <c r="I98" s="92"/>
      <c r="J98" s="92"/>
      <c r="K98" s="92"/>
      <c r="L98" s="92"/>
      <c r="M98" s="92"/>
      <c r="N98" s="92"/>
      <c r="O98" s="92"/>
      <c r="P98" s="92"/>
      <c r="Q98" s="92"/>
      <c r="R98" s="92"/>
      <c r="S98" s="92"/>
      <c r="T98" s="92"/>
      <c r="U98" s="92"/>
      <c r="V98" s="92"/>
      <c r="W98" s="92"/>
      <c r="X98" s="92"/>
      <c r="Y98" s="92"/>
      <c r="Z98" s="92"/>
      <c r="AA98" s="92"/>
      <c r="AB98" s="92"/>
      <c r="AC98" s="92"/>
    </row>
    <row r="99" spans="1:29" ht="12.75" customHeight="1">
      <c r="A99" s="54"/>
      <c r="B99" s="66"/>
      <c r="C99" s="204" t="s">
        <v>32</v>
      </c>
      <c r="D99" s="54"/>
      <c r="E99" s="55" t="s">
        <v>512</v>
      </c>
      <c r="F99" s="132"/>
      <c r="G99" s="92"/>
      <c r="H99" s="92"/>
      <c r="I99" s="92"/>
      <c r="J99" s="92"/>
      <c r="K99" s="92"/>
      <c r="L99" s="92"/>
      <c r="M99" s="92"/>
      <c r="N99" s="92"/>
      <c r="O99" s="92"/>
      <c r="P99" s="92"/>
      <c r="Q99" s="92"/>
      <c r="R99" s="92"/>
      <c r="S99" s="92"/>
      <c r="T99" s="92"/>
      <c r="U99" s="92"/>
      <c r="V99" s="92"/>
      <c r="W99" s="92"/>
      <c r="X99" s="92"/>
      <c r="Y99" s="92"/>
      <c r="Z99" s="92"/>
      <c r="AA99" s="92"/>
      <c r="AB99" s="92"/>
      <c r="AC99" s="92"/>
    </row>
    <row r="100" spans="1:29" ht="12.75" customHeight="1">
      <c r="A100" s="54"/>
      <c r="B100" s="66"/>
      <c r="C100" s="204" t="s">
        <v>32</v>
      </c>
      <c r="D100" s="54"/>
      <c r="E100" s="55" t="s">
        <v>890</v>
      </c>
      <c r="F100" s="13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row>
    <row r="101" spans="1:29" ht="12.75" customHeight="1">
      <c r="A101" s="54"/>
      <c r="B101" s="66"/>
      <c r="C101" s="204" t="s">
        <v>32</v>
      </c>
      <c r="D101" s="54"/>
      <c r="E101" s="55" t="s">
        <v>905</v>
      </c>
      <c r="F101" s="13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row>
    <row r="102" spans="1:29" ht="12.75" customHeight="1">
      <c r="A102" s="54"/>
      <c r="B102" s="66"/>
      <c r="C102" s="204" t="s">
        <v>32</v>
      </c>
      <c r="D102" s="54"/>
      <c r="E102" s="55" t="s">
        <v>1393</v>
      </c>
      <c r="F102" s="13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row>
    <row r="103" spans="1:29" ht="12.75" customHeight="1">
      <c r="A103" s="54"/>
      <c r="B103" s="66"/>
      <c r="C103" s="204" t="s">
        <v>1717</v>
      </c>
      <c r="D103" s="54"/>
      <c r="E103" s="55" t="s">
        <v>1422</v>
      </c>
      <c r="F103" s="13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row>
    <row r="104" spans="1:29" ht="12.75" customHeight="1">
      <c r="A104" s="54"/>
      <c r="B104" s="66"/>
      <c r="C104" s="204" t="s">
        <v>1717</v>
      </c>
      <c r="D104" s="54"/>
      <c r="E104" s="55" t="s">
        <v>897</v>
      </c>
      <c r="F104" s="13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row>
    <row r="105" spans="1:29" ht="12.75" customHeight="1" thickBot="1">
      <c r="A105" s="54"/>
      <c r="B105" s="54"/>
      <c r="C105" s="215" t="s">
        <v>32</v>
      </c>
      <c r="D105" s="57"/>
      <c r="E105" s="56" t="s">
        <v>33</v>
      </c>
      <c r="F105" s="235"/>
      <c r="G105" s="138"/>
      <c r="H105" s="92"/>
      <c r="I105" s="92"/>
      <c r="J105" s="92"/>
      <c r="K105" s="92"/>
      <c r="L105" s="92"/>
      <c r="M105" s="92"/>
      <c r="N105" s="92"/>
      <c r="O105" s="92"/>
      <c r="P105" s="92"/>
      <c r="Q105" s="92"/>
      <c r="R105" s="92"/>
      <c r="S105" s="92"/>
      <c r="T105" s="92"/>
      <c r="U105" s="92"/>
      <c r="V105" s="92"/>
      <c r="W105" s="92"/>
      <c r="X105" s="92"/>
      <c r="Y105" s="92"/>
      <c r="Z105" s="92"/>
      <c r="AA105" s="92"/>
      <c r="AB105" s="92"/>
      <c r="AC105" s="92"/>
    </row>
    <row r="106" spans="1:29" ht="12.75" customHeight="1" thickBot="1">
      <c r="A106" s="54"/>
      <c r="B106" s="132"/>
      <c r="C106" s="159"/>
      <c r="D106" s="103"/>
      <c r="E106" s="55" t="s">
        <v>1376</v>
      </c>
      <c r="F106" s="235"/>
      <c r="G106" s="138"/>
      <c r="H106" s="92"/>
      <c r="I106" s="92"/>
      <c r="J106" s="92"/>
      <c r="K106" s="92"/>
      <c r="L106" s="92"/>
      <c r="M106" s="92"/>
      <c r="N106" s="92"/>
      <c r="O106" s="92"/>
      <c r="P106" s="92"/>
      <c r="Q106" s="92"/>
      <c r="R106" s="92"/>
      <c r="S106" s="92"/>
      <c r="T106" s="92"/>
      <c r="U106" s="92"/>
      <c r="V106" s="92"/>
      <c r="W106" s="92"/>
      <c r="X106" s="92"/>
      <c r="Y106" s="92"/>
      <c r="Z106" s="92"/>
      <c r="AA106" s="92"/>
      <c r="AB106" s="92"/>
      <c r="AC106" s="92"/>
    </row>
    <row r="107" spans="1:29" ht="12.75" customHeight="1" thickBot="1">
      <c r="A107" s="54"/>
      <c r="B107" s="132"/>
      <c r="C107" s="159"/>
      <c r="D107" s="103"/>
      <c r="E107" s="54" t="s">
        <v>311</v>
      </c>
      <c r="F107" s="207"/>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row>
    <row r="108" spans="1:29" ht="12.75" customHeight="1">
      <c r="A108" s="54"/>
      <c r="B108" s="54"/>
      <c r="C108" s="291" t="s">
        <v>265</v>
      </c>
      <c r="D108" s="54"/>
      <c r="E108" s="132" t="s">
        <v>479</v>
      </c>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row>
    <row r="109" spans="1:29" ht="12.75" customHeight="1">
      <c r="A109" s="54"/>
      <c r="B109" s="66"/>
      <c r="C109" s="66" t="s">
        <v>1717</v>
      </c>
      <c r="D109" s="54"/>
      <c r="E109" s="54" t="s">
        <v>909</v>
      </c>
      <c r="F109" s="245"/>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row>
    <row r="110" spans="1:29" ht="12.75" customHeight="1">
      <c r="A110" s="54"/>
      <c r="B110" s="66"/>
      <c r="C110" s="66" t="s">
        <v>1760</v>
      </c>
      <c r="D110" s="54"/>
      <c r="E110" s="54" t="s">
        <v>910</v>
      </c>
      <c r="F110" s="13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row>
    <row r="111" spans="1:29" ht="12.75" customHeight="1">
      <c r="A111" s="54"/>
      <c r="B111" s="66"/>
      <c r="C111" s="66" t="s">
        <v>32</v>
      </c>
      <c r="D111" s="54"/>
      <c r="E111" s="54" t="s">
        <v>1914</v>
      </c>
      <c r="F111" s="13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row>
    <row r="112" spans="1:29" ht="12.75" customHeight="1">
      <c r="A112" s="54"/>
      <c r="B112" s="66"/>
      <c r="C112" s="66" t="s">
        <v>32</v>
      </c>
      <c r="D112" s="54"/>
      <c r="E112" s="54" t="s">
        <v>913</v>
      </c>
      <c r="F112" s="13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row>
    <row r="113" spans="1:29" ht="12.75" customHeight="1">
      <c r="A113" s="54"/>
      <c r="B113" s="66"/>
      <c r="C113" s="200" t="s">
        <v>265</v>
      </c>
      <c r="D113" s="61">
        <v>277</v>
      </c>
      <c r="E113" s="55">
        <f>D113/28.349523</f>
        <v>9.770887503116013</v>
      </c>
      <c r="F113" s="55">
        <f>E113/16</f>
        <v>0.6106804689447508</v>
      </c>
      <c r="G113" s="236" t="s">
        <v>2019</v>
      </c>
      <c r="H113" s="134"/>
      <c r="I113" s="92"/>
      <c r="J113" s="92"/>
      <c r="K113" s="92"/>
      <c r="L113" s="92"/>
      <c r="M113" s="92"/>
      <c r="N113" s="92"/>
      <c r="O113" s="92"/>
      <c r="P113" s="92"/>
      <c r="Q113" s="92"/>
      <c r="R113" s="92"/>
      <c r="S113" s="92"/>
      <c r="T113" s="92"/>
      <c r="U113" s="92"/>
      <c r="V113" s="92"/>
      <c r="W113" s="92"/>
      <c r="X113" s="92"/>
      <c r="Y113" s="92"/>
      <c r="Z113" s="92"/>
      <c r="AA113" s="92"/>
      <c r="AB113" s="92"/>
      <c r="AC113" s="92"/>
    </row>
    <row r="114" spans="1:29" ht="12.75" customHeight="1">
      <c r="A114" s="54"/>
      <c r="B114" s="66"/>
      <c r="C114" s="200" t="s">
        <v>1717</v>
      </c>
      <c r="E114" s="214" t="s">
        <v>111</v>
      </c>
      <c r="J114" s="92"/>
      <c r="K114" s="92"/>
      <c r="L114" s="92"/>
      <c r="M114" s="92"/>
      <c r="N114" s="92"/>
      <c r="O114" s="92"/>
      <c r="P114" s="92"/>
      <c r="Q114" s="92"/>
      <c r="R114" s="92"/>
      <c r="S114" s="92"/>
      <c r="T114" s="92"/>
      <c r="U114" s="92"/>
      <c r="V114" s="92"/>
      <c r="W114" s="92"/>
      <c r="X114" s="92"/>
      <c r="Y114" s="92"/>
      <c r="Z114" s="92"/>
      <c r="AA114" s="92"/>
      <c r="AB114" s="92"/>
      <c r="AC114" s="92"/>
    </row>
    <row r="115" spans="1:8" ht="12.75">
      <c r="A115" s="54"/>
      <c r="B115" s="66"/>
      <c r="C115" s="200" t="s">
        <v>1717</v>
      </c>
      <c r="D115" s="54"/>
      <c r="E115" s="242" t="s">
        <v>798</v>
      </c>
      <c r="F115" s="92"/>
      <c r="H115" s="3"/>
    </row>
    <row r="116" spans="1:29" ht="12.75">
      <c r="A116" s="54"/>
      <c r="B116" s="66"/>
      <c r="C116" s="200" t="s">
        <v>1717</v>
      </c>
      <c r="D116" s="54"/>
      <c r="E116" s="242" t="s">
        <v>799</v>
      </c>
      <c r="F116" s="92"/>
      <c r="J116" s="92"/>
      <c r="K116" s="92"/>
      <c r="L116" s="92"/>
      <c r="M116" s="92"/>
      <c r="N116" s="92"/>
      <c r="O116" s="92"/>
      <c r="P116" s="92"/>
      <c r="Q116" s="92"/>
      <c r="R116" s="92"/>
      <c r="S116" s="92"/>
      <c r="T116" s="92"/>
      <c r="U116" s="92"/>
      <c r="V116" s="92"/>
      <c r="W116" s="92"/>
      <c r="X116" s="92"/>
      <c r="Y116" s="92"/>
      <c r="Z116" s="92"/>
      <c r="AA116" s="92"/>
      <c r="AB116" s="92"/>
      <c r="AC116" s="92"/>
    </row>
    <row r="117" spans="1:29" ht="12.75">
      <c r="A117" s="54"/>
      <c r="B117" s="66"/>
      <c r="C117" s="200" t="s">
        <v>1717</v>
      </c>
      <c r="D117" s="54"/>
      <c r="E117" s="242" t="s">
        <v>800</v>
      </c>
      <c r="F117" s="92"/>
      <c r="J117" s="92"/>
      <c r="K117" s="92"/>
      <c r="L117" s="92"/>
      <c r="M117" s="92"/>
      <c r="N117" s="92"/>
      <c r="O117" s="92"/>
      <c r="P117" s="92"/>
      <c r="Q117" s="92"/>
      <c r="R117" s="92"/>
      <c r="S117" s="92"/>
      <c r="T117" s="92"/>
      <c r="U117" s="92"/>
      <c r="V117" s="92"/>
      <c r="W117" s="92"/>
      <c r="X117" s="92"/>
      <c r="Y117" s="92"/>
      <c r="Z117" s="92"/>
      <c r="AA117" s="92"/>
      <c r="AB117" s="92"/>
      <c r="AC117" s="92"/>
    </row>
    <row r="118" spans="1:29" ht="12.75">
      <c r="A118" s="54"/>
      <c r="B118" s="66"/>
      <c r="C118" s="200" t="s">
        <v>1717</v>
      </c>
      <c r="D118" s="54"/>
      <c r="E118" s="242" t="s">
        <v>801</v>
      </c>
      <c r="F118" s="92"/>
      <c r="J118" s="92"/>
      <c r="K118" s="92"/>
      <c r="L118" s="92"/>
      <c r="M118" s="92"/>
      <c r="N118" s="92"/>
      <c r="O118" s="92"/>
      <c r="P118" s="92"/>
      <c r="Q118" s="92"/>
      <c r="R118" s="92"/>
      <c r="S118" s="92"/>
      <c r="T118" s="92"/>
      <c r="U118" s="92"/>
      <c r="V118" s="92"/>
      <c r="W118" s="92"/>
      <c r="X118" s="92"/>
      <c r="Y118" s="92"/>
      <c r="Z118" s="92"/>
      <c r="AA118" s="92"/>
      <c r="AB118" s="92"/>
      <c r="AC118" s="92"/>
    </row>
    <row r="119" spans="1:29" ht="12.75">
      <c r="A119" s="54"/>
      <c r="B119" s="66"/>
      <c r="C119" s="66" t="s">
        <v>1717</v>
      </c>
      <c r="D119" s="54"/>
      <c r="E119" s="242" t="s">
        <v>298</v>
      </c>
      <c r="F119" s="92"/>
      <c r="J119" s="92"/>
      <c r="K119" s="92"/>
      <c r="L119" s="92"/>
      <c r="M119" s="92"/>
      <c r="N119" s="92"/>
      <c r="O119" s="92"/>
      <c r="P119" s="92"/>
      <c r="Q119" s="92"/>
      <c r="R119" s="92"/>
      <c r="S119" s="92"/>
      <c r="T119" s="92"/>
      <c r="U119" s="92"/>
      <c r="V119" s="92"/>
      <c r="W119" s="92"/>
      <c r="X119" s="92"/>
      <c r="Y119" s="92"/>
      <c r="Z119" s="92"/>
      <c r="AA119" s="92"/>
      <c r="AB119" s="92"/>
      <c r="AC119" s="92"/>
    </row>
    <row r="120" spans="1:29" ht="12.75" customHeight="1">
      <c r="A120" s="54"/>
      <c r="B120" s="54"/>
      <c r="C120" s="54" t="s">
        <v>32</v>
      </c>
      <c r="D120" s="54"/>
      <c r="E120" s="132" t="s">
        <v>1970</v>
      </c>
      <c r="F120" s="65"/>
      <c r="G120" s="65"/>
      <c r="H120" s="65"/>
      <c r="I120" s="65"/>
      <c r="J120" s="65"/>
      <c r="K120" s="65"/>
      <c r="L120" s="92"/>
      <c r="M120" s="92"/>
      <c r="N120" s="92"/>
      <c r="O120" s="92"/>
      <c r="P120" s="92"/>
      <c r="Q120" s="92"/>
      <c r="R120" s="92"/>
      <c r="S120" s="92"/>
      <c r="T120" s="92"/>
      <c r="U120" s="92"/>
      <c r="V120" s="92"/>
      <c r="W120" s="92"/>
      <c r="X120" s="92"/>
      <c r="Y120" s="92"/>
      <c r="Z120" s="92"/>
      <c r="AA120" s="92"/>
      <c r="AB120" s="92"/>
      <c r="AC120" s="92"/>
    </row>
    <row r="121" spans="1:29" ht="16.5" customHeight="1">
      <c r="A121" s="54"/>
      <c r="B121" s="54"/>
      <c r="C121" s="54"/>
      <c r="D121" s="54"/>
      <c r="E121" s="132"/>
      <c r="F121" s="65"/>
      <c r="G121" s="65"/>
      <c r="H121" s="65"/>
      <c r="I121" s="65"/>
      <c r="J121" s="65"/>
      <c r="K121" s="65"/>
      <c r="L121" s="92"/>
      <c r="M121" s="92"/>
      <c r="N121" s="92"/>
      <c r="O121" s="92"/>
      <c r="P121" s="92"/>
      <c r="Q121" s="92"/>
      <c r="R121" s="92"/>
      <c r="S121" s="92"/>
      <c r="T121" s="92"/>
      <c r="U121" s="92"/>
      <c r="V121" s="92"/>
      <c r="W121" s="92"/>
      <c r="X121" s="92"/>
      <c r="Y121" s="92"/>
      <c r="Z121" s="92"/>
      <c r="AA121" s="92"/>
      <c r="AB121" s="92"/>
      <c r="AC121" s="92"/>
    </row>
    <row r="122" spans="1:29" ht="16.5" customHeight="1">
      <c r="A122" s="54"/>
      <c r="B122" s="54"/>
      <c r="C122" s="54"/>
      <c r="D122" s="54"/>
      <c r="E122" s="132"/>
      <c r="F122" s="65"/>
      <c r="G122" s="65"/>
      <c r="H122" s="65"/>
      <c r="I122" s="65"/>
      <c r="J122" s="65"/>
      <c r="K122" s="65"/>
      <c r="L122" s="92"/>
      <c r="M122" s="92"/>
      <c r="N122" s="92"/>
      <c r="O122" s="92"/>
      <c r="P122" s="92"/>
      <c r="Q122" s="92"/>
      <c r="R122" s="92"/>
      <c r="S122" s="92"/>
      <c r="T122" s="92"/>
      <c r="U122" s="92"/>
      <c r="V122" s="92"/>
      <c r="W122" s="92"/>
      <c r="X122" s="92"/>
      <c r="Y122" s="92"/>
      <c r="Z122" s="92"/>
      <c r="AA122" s="92"/>
      <c r="AB122" s="92"/>
      <c r="AC122" s="92"/>
    </row>
    <row r="123" spans="1:29" ht="16.5" customHeight="1">
      <c r="A123" s="54"/>
      <c r="B123" s="54"/>
      <c r="C123" s="54"/>
      <c r="D123" s="54"/>
      <c r="E123" s="132"/>
      <c r="F123" s="65"/>
      <c r="G123" s="65"/>
      <c r="H123" s="65"/>
      <c r="I123" s="65"/>
      <c r="J123" s="65"/>
      <c r="K123" s="65"/>
      <c r="L123" s="92"/>
      <c r="M123" s="92"/>
      <c r="N123" s="92"/>
      <c r="O123" s="92"/>
      <c r="P123" s="92"/>
      <c r="Q123" s="92"/>
      <c r="R123" s="92"/>
      <c r="S123" s="92"/>
      <c r="T123" s="92"/>
      <c r="U123" s="92"/>
      <c r="V123" s="92"/>
      <c r="W123" s="92"/>
      <c r="X123" s="92"/>
      <c r="Y123" s="92"/>
      <c r="Z123" s="92"/>
      <c r="AA123" s="92"/>
      <c r="AB123" s="92"/>
      <c r="AC123" s="92"/>
    </row>
    <row r="124" spans="1:29" ht="16.5" customHeight="1">
      <c r="A124" s="54"/>
      <c r="B124" s="54"/>
      <c r="C124" s="54"/>
      <c r="D124" s="54"/>
      <c r="E124" s="132"/>
      <c r="F124" s="65"/>
      <c r="G124" s="65"/>
      <c r="H124" s="65"/>
      <c r="I124" s="65"/>
      <c r="J124" s="65"/>
      <c r="K124" s="65"/>
      <c r="L124" s="92"/>
      <c r="M124" s="92"/>
      <c r="N124" s="92"/>
      <c r="O124" s="92"/>
      <c r="P124" s="92"/>
      <c r="Q124" s="92"/>
      <c r="R124" s="92"/>
      <c r="S124" s="92"/>
      <c r="T124" s="92"/>
      <c r="U124" s="92"/>
      <c r="V124" s="92"/>
      <c r="W124" s="92"/>
      <c r="X124" s="92"/>
      <c r="Y124" s="92"/>
      <c r="Z124" s="92"/>
      <c r="AA124" s="92"/>
      <c r="AB124" s="92"/>
      <c r="AC124" s="92"/>
    </row>
    <row r="125" spans="1:29" ht="16.5" customHeight="1">
      <c r="A125" s="54"/>
      <c r="B125" s="54"/>
      <c r="C125" s="54"/>
      <c r="D125" s="54"/>
      <c r="E125" s="132"/>
      <c r="F125" s="65"/>
      <c r="G125" s="65"/>
      <c r="H125" s="65"/>
      <c r="I125" s="65"/>
      <c r="J125" s="65"/>
      <c r="K125" s="65"/>
      <c r="L125" s="92"/>
      <c r="M125" s="92"/>
      <c r="N125" s="92"/>
      <c r="O125" s="92"/>
      <c r="P125" s="92"/>
      <c r="Q125" s="92"/>
      <c r="R125" s="92"/>
      <c r="S125" s="92"/>
      <c r="T125" s="92"/>
      <c r="U125" s="92"/>
      <c r="V125" s="92"/>
      <c r="W125" s="92"/>
      <c r="X125" s="92"/>
      <c r="Y125" s="92"/>
      <c r="Z125" s="92"/>
      <c r="AA125" s="92"/>
      <c r="AB125" s="92"/>
      <c r="AC125" s="92"/>
    </row>
    <row r="126" spans="1:29" ht="16.5" customHeight="1">
      <c r="A126" s="54"/>
      <c r="B126" s="54"/>
      <c r="C126" s="54"/>
      <c r="D126" s="54"/>
      <c r="E126" s="132"/>
      <c r="F126" s="65"/>
      <c r="G126" s="65"/>
      <c r="H126" s="65"/>
      <c r="I126" s="65"/>
      <c r="J126" s="65"/>
      <c r="K126" s="65"/>
      <c r="L126" s="92"/>
      <c r="M126" s="92"/>
      <c r="N126" s="92"/>
      <c r="O126" s="92"/>
      <c r="P126" s="92"/>
      <c r="Q126" s="92"/>
      <c r="R126" s="92"/>
      <c r="S126" s="92"/>
      <c r="T126" s="92"/>
      <c r="U126" s="92"/>
      <c r="V126" s="92"/>
      <c r="W126" s="92"/>
      <c r="X126" s="92"/>
      <c r="Y126" s="92"/>
      <c r="Z126" s="92"/>
      <c r="AA126" s="92"/>
      <c r="AB126" s="92"/>
      <c r="AC126" s="92"/>
    </row>
    <row r="127" spans="1:29" ht="16.5" customHeight="1">
      <c r="A127" s="54"/>
      <c r="B127" s="54"/>
      <c r="C127" s="54"/>
      <c r="D127" s="54"/>
      <c r="E127" s="132"/>
      <c r="F127" s="65"/>
      <c r="G127" s="65"/>
      <c r="H127" s="65"/>
      <c r="I127" s="65"/>
      <c r="J127" s="65"/>
      <c r="K127" s="65"/>
      <c r="L127" s="92"/>
      <c r="M127" s="92"/>
      <c r="N127" s="92"/>
      <c r="O127" s="92"/>
      <c r="P127" s="92"/>
      <c r="Q127" s="92"/>
      <c r="R127" s="92"/>
      <c r="S127" s="92"/>
      <c r="T127" s="92"/>
      <c r="U127" s="92"/>
      <c r="V127" s="92"/>
      <c r="W127" s="92"/>
      <c r="X127" s="92"/>
      <c r="Y127" s="92"/>
      <c r="Z127" s="92"/>
      <c r="AA127" s="92"/>
      <c r="AB127" s="92"/>
      <c r="AC127" s="92"/>
    </row>
    <row r="128" spans="1:29" ht="16.5" customHeight="1">
      <c r="A128" s="54"/>
      <c r="B128" s="54"/>
      <c r="C128" s="54"/>
      <c r="D128" s="54"/>
      <c r="E128" s="132"/>
      <c r="F128" s="65"/>
      <c r="G128" s="65"/>
      <c r="H128" s="65"/>
      <c r="I128" s="65"/>
      <c r="J128" s="65"/>
      <c r="K128" s="65"/>
      <c r="L128" s="92"/>
      <c r="M128" s="92"/>
      <c r="N128" s="92"/>
      <c r="O128" s="92"/>
      <c r="P128" s="92"/>
      <c r="Q128" s="92"/>
      <c r="R128" s="92"/>
      <c r="S128" s="92"/>
      <c r="T128" s="92"/>
      <c r="U128" s="92"/>
      <c r="V128" s="92"/>
      <c r="W128" s="92"/>
      <c r="X128" s="92"/>
      <c r="Y128" s="92"/>
      <c r="Z128" s="92"/>
      <c r="AA128" s="92"/>
      <c r="AB128" s="92"/>
      <c r="AC128" s="92"/>
    </row>
    <row r="129" spans="1:29" ht="16.5" customHeight="1">
      <c r="A129" s="54"/>
      <c r="B129" s="54"/>
      <c r="C129" s="54"/>
      <c r="D129" s="54"/>
      <c r="E129" s="132"/>
      <c r="F129" s="65"/>
      <c r="G129" s="65"/>
      <c r="H129" s="65"/>
      <c r="I129" s="65"/>
      <c r="J129" s="65"/>
      <c r="K129" s="65"/>
      <c r="L129" s="92"/>
      <c r="M129" s="92"/>
      <c r="N129" s="92"/>
      <c r="O129" s="92"/>
      <c r="P129" s="92"/>
      <c r="Q129" s="92"/>
      <c r="R129" s="92"/>
      <c r="S129" s="92"/>
      <c r="T129" s="92"/>
      <c r="U129" s="92"/>
      <c r="V129" s="92"/>
      <c r="W129" s="92"/>
      <c r="X129" s="92"/>
      <c r="Y129" s="92"/>
      <c r="Z129" s="92"/>
      <c r="AA129" s="92"/>
      <c r="AB129" s="92"/>
      <c r="AC129" s="92"/>
    </row>
    <row r="130" spans="1:29" ht="16.5" customHeight="1">
      <c r="A130" s="54"/>
      <c r="B130" s="54"/>
      <c r="C130" s="54"/>
      <c r="D130" s="54"/>
      <c r="E130" s="132"/>
      <c r="F130" s="65"/>
      <c r="G130" s="65"/>
      <c r="H130" s="65"/>
      <c r="I130" s="65"/>
      <c r="J130" s="65"/>
      <c r="K130" s="65"/>
      <c r="L130" s="92"/>
      <c r="M130" s="92"/>
      <c r="N130" s="92"/>
      <c r="O130" s="92"/>
      <c r="P130" s="92"/>
      <c r="Q130" s="92"/>
      <c r="R130" s="92"/>
      <c r="S130" s="92"/>
      <c r="T130" s="92"/>
      <c r="U130" s="92"/>
      <c r="V130" s="92"/>
      <c r="W130" s="92"/>
      <c r="X130" s="92"/>
      <c r="Y130" s="92"/>
      <c r="Z130" s="92"/>
      <c r="AA130" s="92"/>
      <c r="AB130" s="92"/>
      <c r="AC130" s="92"/>
    </row>
    <row r="131" spans="1:29" ht="16.5" customHeight="1">
      <c r="A131" s="54"/>
      <c r="B131" s="54"/>
      <c r="C131" s="54"/>
      <c r="D131" s="54"/>
      <c r="E131" s="132"/>
      <c r="F131" s="65"/>
      <c r="G131" s="65"/>
      <c r="H131" s="65"/>
      <c r="I131" s="65"/>
      <c r="J131" s="65"/>
      <c r="K131" s="65"/>
      <c r="L131" s="92"/>
      <c r="M131" s="92"/>
      <c r="N131" s="92"/>
      <c r="O131" s="92"/>
      <c r="P131" s="92"/>
      <c r="Q131" s="92"/>
      <c r="R131" s="92"/>
      <c r="S131" s="92"/>
      <c r="T131" s="92"/>
      <c r="U131" s="92"/>
      <c r="V131" s="92"/>
      <c r="W131" s="92"/>
      <c r="X131" s="92"/>
      <c r="Y131" s="92"/>
      <c r="Z131" s="92"/>
      <c r="AA131" s="92"/>
      <c r="AB131" s="92"/>
      <c r="AC131" s="92"/>
    </row>
    <row r="132" spans="1:29" ht="15" customHeight="1">
      <c r="A132" s="54"/>
      <c r="B132" s="54"/>
      <c r="C132" s="54"/>
      <c r="D132" s="54"/>
      <c r="E132" s="132"/>
      <c r="F132" s="65"/>
      <c r="G132" s="65"/>
      <c r="H132" s="65"/>
      <c r="I132" s="65"/>
      <c r="J132" s="65"/>
      <c r="K132" s="65"/>
      <c r="L132" s="92"/>
      <c r="M132" s="92"/>
      <c r="N132" s="92"/>
      <c r="O132" s="92"/>
      <c r="P132" s="92"/>
      <c r="Q132" s="92"/>
      <c r="R132" s="92"/>
      <c r="S132" s="92"/>
      <c r="T132" s="92"/>
      <c r="U132" s="92"/>
      <c r="V132" s="92"/>
      <c r="W132" s="92"/>
      <c r="X132" s="92"/>
      <c r="Y132" s="92"/>
      <c r="Z132" s="92"/>
      <c r="AA132" s="92"/>
      <c r="AB132" s="92"/>
      <c r="AC132" s="92"/>
    </row>
    <row r="133" spans="1:29" ht="15" customHeight="1">
      <c r="A133" s="54"/>
      <c r="B133" s="54"/>
      <c r="C133" s="54"/>
      <c r="D133" s="54"/>
      <c r="E133" s="132"/>
      <c r="F133" s="65"/>
      <c r="G133" s="65"/>
      <c r="H133" s="65"/>
      <c r="I133" s="65"/>
      <c r="J133" s="65"/>
      <c r="K133" s="65"/>
      <c r="L133" s="92"/>
      <c r="M133" s="92"/>
      <c r="N133" s="92"/>
      <c r="O133" s="92"/>
      <c r="P133" s="92"/>
      <c r="Q133" s="92"/>
      <c r="R133" s="92"/>
      <c r="S133" s="92"/>
      <c r="T133" s="92"/>
      <c r="U133" s="92"/>
      <c r="V133" s="92"/>
      <c r="W133" s="92"/>
      <c r="X133" s="92"/>
      <c r="Y133" s="92"/>
      <c r="Z133" s="92"/>
      <c r="AA133" s="92"/>
      <c r="AB133" s="92"/>
      <c r="AC133" s="92"/>
    </row>
    <row r="134" spans="1:29" ht="15" customHeight="1">
      <c r="A134" s="54"/>
      <c r="B134" s="54"/>
      <c r="C134" s="54"/>
      <c r="D134" s="54"/>
      <c r="E134" s="132"/>
      <c r="F134" s="65"/>
      <c r="G134" s="65"/>
      <c r="H134" s="65"/>
      <c r="I134" s="65"/>
      <c r="J134" s="65"/>
      <c r="K134" s="65"/>
      <c r="L134" s="92"/>
      <c r="M134" s="92"/>
      <c r="N134" s="92"/>
      <c r="O134" s="92"/>
      <c r="P134" s="92"/>
      <c r="Q134" s="92"/>
      <c r="R134" s="92"/>
      <c r="S134" s="92"/>
      <c r="T134" s="92"/>
      <c r="U134" s="92"/>
      <c r="V134" s="92"/>
      <c r="W134" s="92"/>
      <c r="X134" s="92"/>
      <c r="Y134" s="92"/>
      <c r="Z134" s="92"/>
      <c r="AA134" s="92"/>
      <c r="AB134" s="92"/>
      <c r="AC134" s="92"/>
    </row>
    <row r="135" spans="1:29" ht="15" customHeight="1">
      <c r="A135" s="54"/>
      <c r="B135" s="54"/>
      <c r="C135" s="54"/>
      <c r="D135" s="54"/>
      <c r="E135" s="132"/>
      <c r="F135" s="65"/>
      <c r="G135" s="65"/>
      <c r="H135" s="65"/>
      <c r="I135" s="65"/>
      <c r="J135" s="65"/>
      <c r="K135" s="65"/>
      <c r="L135" s="92"/>
      <c r="M135" s="92"/>
      <c r="N135" s="92"/>
      <c r="O135" s="92"/>
      <c r="P135" s="92"/>
      <c r="Q135" s="92"/>
      <c r="R135" s="92"/>
      <c r="S135" s="92"/>
      <c r="T135" s="92"/>
      <c r="U135" s="92"/>
      <c r="V135" s="92"/>
      <c r="W135" s="92"/>
      <c r="X135" s="92"/>
      <c r="Y135" s="92"/>
      <c r="Z135" s="92"/>
      <c r="AA135" s="92"/>
      <c r="AB135" s="92"/>
      <c r="AC135" s="92"/>
    </row>
    <row r="136" spans="1:29" ht="15" customHeight="1">
      <c r="A136" s="54"/>
      <c r="B136" s="54"/>
      <c r="C136" s="54"/>
      <c r="D136" s="54"/>
      <c r="E136" s="132"/>
      <c r="F136" s="65"/>
      <c r="G136" s="65"/>
      <c r="H136" s="65"/>
      <c r="I136" s="65"/>
      <c r="J136" s="65"/>
      <c r="K136" s="65"/>
      <c r="L136" s="92"/>
      <c r="M136" s="92"/>
      <c r="N136" s="92"/>
      <c r="O136" s="92"/>
      <c r="P136" s="92"/>
      <c r="Q136" s="92"/>
      <c r="R136" s="92"/>
      <c r="S136" s="92"/>
      <c r="T136" s="92"/>
      <c r="U136" s="92"/>
      <c r="V136" s="92"/>
      <c r="W136" s="92"/>
      <c r="X136" s="92"/>
      <c r="Y136" s="92"/>
      <c r="Z136" s="92"/>
      <c r="AA136" s="92"/>
      <c r="AB136" s="92"/>
      <c r="AC136" s="92"/>
    </row>
    <row r="137" spans="1:29" ht="15" customHeight="1">
      <c r="A137" s="54"/>
      <c r="B137" s="54"/>
      <c r="C137" s="54"/>
      <c r="D137" s="54"/>
      <c r="E137" s="132"/>
      <c r="F137" s="65"/>
      <c r="G137" s="65"/>
      <c r="H137" s="65"/>
      <c r="I137" s="65"/>
      <c r="J137" s="65"/>
      <c r="K137" s="65"/>
      <c r="L137" s="92"/>
      <c r="M137" s="92"/>
      <c r="N137" s="92"/>
      <c r="O137" s="92"/>
      <c r="P137" s="92"/>
      <c r="Q137" s="92"/>
      <c r="R137" s="92"/>
      <c r="S137" s="92"/>
      <c r="T137" s="92"/>
      <c r="U137" s="92"/>
      <c r="V137" s="92"/>
      <c r="W137" s="92"/>
      <c r="X137" s="92"/>
      <c r="Y137" s="92"/>
      <c r="Z137" s="92"/>
      <c r="AA137" s="92"/>
      <c r="AB137" s="92"/>
      <c r="AC137" s="92"/>
    </row>
    <row r="138" spans="1:29" ht="15" customHeight="1">
      <c r="A138" s="54"/>
      <c r="B138" s="54"/>
      <c r="C138" s="54"/>
      <c r="D138" s="54"/>
      <c r="E138" s="132"/>
      <c r="F138" s="65"/>
      <c r="G138" s="65"/>
      <c r="H138" s="65"/>
      <c r="I138" s="65"/>
      <c r="J138" s="65"/>
      <c r="K138" s="65"/>
      <c r="L138" s="92"/>
      <c r="M138" s="92"/>
      <c r="N138" s="92"/>
      <c r="O138" s="92"/>
      <c r="P138" s="92"/>
      <c r="Q138" s="92"/>
      <c r="R138" s="92"/>
      <c r="S138" s="92"/>
      <c r="T138" s="92"/>
      <c r="U138" s="92"/>
      <c r="V138" s="92"/>
      <c r="W138" s="92"/>
      <c r="X138" s="92"/>
      <c r="Y138" s="92"/>
      <c r="Z138" s="92"/>
      <c r="AA138" s="92"/>
      <c r="AB138" s="92"/>
      <c r="AC138" s="92"/>
    </row>
    <row r="139" spans="1:29" ht="15" customHeight="1">
      <c r="A139" s="54"/>
      <c r="B139" s="54"/>
      <c r="C139" s="54"/>
      <c r="D139" s="54"/>
      <c r="E139" s="132"/>
      <c r="F139" s="65"/>
      <c r="G139" s="65"/>
      <c r="H139" s="65"/>
      <c r="I139" s="65"/>
      <c r="J139" s="65"/>
      <c r="K139" s="65"/>
      <c r="L139" s="92"/>
      <c r="M139" s="92"/>
      <c r="N139" s="92"/>
      <c r="O139" s="92"/>
      <c r="P139" s="92"/>
      <c r="Q139" s="92"/>
      <c r="R139" s="92"/>
      <c r="S139" s="92"/>
      <c r="T139" s="92"/>
      <c r="U139" s="92"/>
      <c r="V139" s="92"/>
      <c r="W139" s="92"/>
      <c r="X139" s="92"/>
      <c r="Y139" s="92"/>
      <c r="Z139" s="92"/>
      <c r="AA139" s="92"/>
      <c r="AB139" s="92"/>
      <c r="AC139" s="92"/>
    </row>
    <row r="140" spans="1:29" ht="15" customHeight="1">
      <c r="A140" s="54"/>
      <c r="B140" s="54"/>
      <c r="C140" s="54"/>
      <c r="D140" s="54"/>
      <c r="E140" s="132"/>
      <c r="F140" s="65"/>
      <c r="G140" s="65"/>
      <c r="H140" s="65"/>
      <c r="I140" s="65"/>
      <c r="J140" s="65"/>
      <c r="K140" s="65"/>
      <c r="L140" s="92"/>
      <c r="M140" s="92"/>
      <c r="N140" s="92"/>
      <c r="O140" s="92"/>
      <c r="P140" s="92"/>
      <c r="Q140" s="92"/>
      <c r="R140" s="92"/>
      <c r="S140" s="92"/>
      <c r="T140" s="92"/>
      <c r="U140" s="92"/>
      <c r="V140" s="92"/>
      <c r="W140" s="92"/>
      <c r="X140" s="92"/>
      <c r="Y140" s="92"/>
      <c r="Z140" s="92"/>
      <c r="AA140" s="92"/>
      <c r="AB140" s="92"/>
      <c r="AC140" s="92"/>
    </row>
    <row r="141" spans="1:29" ht="15" customHeight="1">
      <c r="A141" s="54"/>
      <c r="B141" s="54"/>
      <c r="C141" s="54"/>
      <c r="D141" s="54"/>
      <c r="E141" s="132"/>
      <c r="F141" s="65"/>
      <c r="G141" s="65"/>
      <c r="H141" s="65"/>
      <c r="I141" s="65"/>
      <c r="J141" s="65"/>
      <c r="K141" s="65"/>
      <c r="L141" s="92"/>
      <c r="M141" s="92"/>
      <c r="N141" s="92"/>
      <c r="O141" s="92"/>
      <c r="P141" s="92"/>
      <c r="Q141" s="92"/>
      <c r="R141" s="92"/>
      <c r="S141" s="92"/>
      <c r="T141" s="92"/>
      <c r="U141" s="92"/>
      <c r="V141" s="92"/>
      <c r="W141" s="92"/>
      <c r="X141" s="92"/>
      <c r="Y141" s="92"/>
      <c r="Z141" s="92"/>
      <c r="AA141" s="92"/>
      <c r="AB141" s="92"/>
      <c r="AC141" s="92"/>
    </row>
    <row r="142" spans="10:29" ht="12.75">
      <c r="J142" s="92"/>
      <c r="K142" s="92"/>
      <c r="L142" s="92"/>
      <c r="M142" s="92"/>
      <c r="N142" s="92"/>
      <c r="O142" s="92"/>
      <c r="P142" s="92"/>
      <c r="Q142" s="92"/>
      <c r="R142" s="92"/>
      <c r="S142" s="92"/>
      <c r="T142" s="92"/>
      <c r="U142" s="92"/>
      <c r="V142" s="92"/>
      <c r="W142" s="92"/>
      <c r="X142" s="92"/>
      <c r="Y142" s="92"/>
      <c r="Z142" s="92"/>
      <c r="AA142" s="92"/>
      <c r="AB142" s="92"/>
      <c r="AC142" s="92"/>
    </row>
    <row r="143" spans="10:29" ht="12.75">
      <c r="J143" s="92"/>
      <c r="K143" s="92"/>
      <c r="L143" s="92"/>
      <c r="M143" s="92"/>
      <c r="N143" s="92"/>
      <c r="O143" s="92"/>
      <c r="P143" s="92"/>
      <c r="Q143" s="92"/>
      <c r="R143" s="92"/>
      <c r="S143" s="92"/>
      <c r="T143" s="92"/>
      <c r="U143" s="92"/>
      <c r="V143" s="92"/>
      <c r="W143" s="92"/>
      <c r="X143" s="92"/>
      <c r="Y143" s="92"/>
      <c r="Z143" s="92"/>
      <c r="AA143" s="92"/>
      <c r="AB143" s="92"/>
      <c r="AC143" s="92"/>
    </row>
    <row r="144" spans="10:29" ht="12.75">
      <c r="J144" s="92"/>
      <c r="K144" s="92"/>
      <c r="L144" s="92"/>
      <c r="M144" s="92"/>
      <c r="N144" s="92"/>
      <c r="O144" s="92"/>
      <c r="P144" s="92"/>
      <c r="Q144" s="92"/>
      <c r="R144" s="92"/>
      <c r="S144" s="92"/>
      <c r="T144" s="92"/>
      <c r="U144" s="92"/>
      <c r="V144" s="92"/>
      <c r="W144" s="92"/>
      <c r="X144" s="92"/>
      <c r="Y144" s="92"/>
      <c r="Z144" s="92"/>
      <c r="AA144" s="92"/>
      <c r="AB144" s="92"/>
      <c r="AC144" s="92"/>
    </row>
    <row r="145" spans="10:29" ht="12.75">
      <c r="J145" s="92"/>
      <c r="K145" s="92"/>
      <c r="L145" s="92"/>
      <c r="M145" s="92"/>
      <c r="N145" s="92"/>
      <c r="O145" s="92"/>
      <c r="P145" s="92"/>
      <c r="Q145" s="92"/>
      <c r="R145" s="92"/>
      <c r="S145" s="92"/>
      <c r="T145" s="92"/>
      <c r="U145" s="92"/>
      <c r="V145" s="92"/>
      <c r="W145" s="92"/>
      <c r="X145" s="92"/>
      <c r="Y145" s="92"/>
      <c r="Z145" s="92"/>
      <c r="AA145" s="92"/>
      <c r="AB145" s="92"/>
      <c r="AC145" s="92"/>
    </row>
    <row r="146" spans="10:29" ht="12.75">
      <c r="J146" s="92"/>
      <c r="K146" s="92"/>
      <c r="L146" s="92"/>
      <c r="M146" s="92"/>
      <c r="N146" s="92"/>
      <c r="O146" s="92"/>
      <c r="P146" s="92"/>
      <c r="Q146" s="92"/>
      <c r="R146" s="92"/>
      <c r="S146" s="92"/>
      <c r="T146" s="92"/>
      <c r="U146" s="92"/>
      <c r="V146" s="92"/>
      <c r="W146" s="92"/>
      <c r="X146" s="92"/>
      <c r="Y146" s="92"/>
      <c r="Z146" s="92"/>
      <c r="AA146" s="92"/>
      <c r="AB146" s="92"/>
      <c r="AC146" s="92"/>
    </row>
    <row r="147" spans="10:29" ht="12.75">
      <c r="J147" s="92"/>
      <c r="K147" s="92"/>
      <c r="L147" s="92"/>
      <c r="M147" s="92"/>
      <c r="N147" s="92"/>
      <c r="O147" s="92"/>
      <c r="P147" s="92"/>
      <c r="Q147" s="92"/>
      <c r="R147" s="92"/>
      <c r="S147" s="92"/>
      <c r="T147" s="92"/>
      <c r="U147" s="92"/>
      <c r="V147" s="92"/>
      <c r="W147" s="92"/>
      <c r="X147" s="92"/>
      <c r="Y147" s="92"/>
      <c r="Z147" s="92"/>
      <c r="AA147" s="92"/>
      <c r="AB147" s="92"/>
      <c r="AC147" s="92"/>
    </row>
    <row r="148" spans="10:29" ht="12.75">
      <c r="J148" s="92"/>
      <c r="K148" s="92"/>
      <c r="L148" s="92"/>
      <c r="M148" s="92"/>
      <c r="N148" s="92"/>
      <c r="O148" s="92"/>
      <c r="P148" s="92"/>
      <c r="Q148" s="92"/>
      <c r="R148" s="92"/>
      <c r="S148" s="92"/>
      <c r="T148" s="92"/>
      <c r="U148" s="92"/>
      <c r="V148" s="92"/>
      <c r="W148" s="92"/>
      <c r="X148" s="92"/>
      <c r="Y148" s="92"/>
      <c r="Z148" s="92"/>
      <c r="AA148" s="92"/>
      <c r="AB148" s="92"/>
      <c r="AC148" s="92"/>
    </row>
    <row r="149" spans="10:29" ht="12.75">
      <c r="J149" s="92"/>
      <c r="K149" s="92"/>
      <c r="L149" s="92"/>
      <c r="M149" s="92"/>
      <c r="N149" s="92"/>
      <c r="O149" s="92"/>
      <c r="P149" s="92"/>
      <c r="Q149" s="92"/>
      <c r="R149" s="92"/>
      <c r="S149" s="92"/>
      <c r="T149" s="92"/>
      <c r="U149" s="92"/>
      <c r="V149" s="92"/>
      <c r="W149" s="92"/>
      <c r="X149" s="92"/>
      <c r="Y149" s="92"/>
      <c r="Z149" s="92"/>
      <c r="AA149" s="92"/>
      <c r="AB149" s="92"/>
      <c r="AC149" s="92"/>
    </row>
    <row r="150" spans="10:29" ht="12.75">
      <c r="J150" s="92"/>
      <c r="K150" s="92"/>
      <c r="L150" s="92"/>
      <c r="M150" s="92"/>
      <c r="N150" s="92"/>
      <c r="O150" s="92"/>
      <c r="P150" s="92"/>
      <c r="Q150" s="92"/>
      <c r="R150" s="92"/>
      <c r="S150" s="92"/>
      <c r="T150" s="92"/>
      <c r="U150" s="92"/>
      <c r="V150" s="92"/>
      <c r="W150" s="92"/>
      <c r="X150" s="92"/>
      <c r="Y150" s="92"/>
      <c r="Z150" s="92"/>
      <c r="AA150" s="92"/>
      <c r="AB150" s="92"/>
      <c r="AC150" s="92"/>
    </row>
    <row r="151" spans="10:29" ht="12.75">
      <c r="J151" s="92"/>
      <c r="K151" s="92"/>
      <c r="L151" s="92"/>
      <c r="M151" s="92"/>
      <c r="N151" s="92"/>
      <c r="O151" s="92"/>
      <c r="P151" s="92"/>
      <c r="Q151" s="92"/>
      <c r="R151" s="92"/>
      <c r="S151" s="92"/>
      <c r="T151" s="92"/>
      <c r="U151" s="92"/>
      <c r="V151" s="92"/>
      <c r="W151" s="92"/>
      <c r="X151" s="92"/>
      <c r="Y151" s="92"/>
      <c r="Z151" s="92"/>
      <c r="AA151" s="92"/>
      <c r="AB151" s="92"/>
      <c r="AC151" s="92"/>
    </row>
    <row r="152" spans="10:29" ht="12.75">
      <c r="J152" s="92"/>
      <c r="K152" s="92"/>
      <c r="L152" s="92"/>
      <c r="M152" s="92"/>
      <c r="N152" s="92"/>
      <c r="O152" s="92"/>
      <c r="P152" s="92"/>
      <c r="Q152" s="92"/>
      <c r="R152" s="92"/>
      <c r="S152" s="92"/>
      <c r="T152" s="92"/>
      <c r="U152" s="92"/>
      <c r="V152" s="92"/>
      <c r="W152" s="92"/>
      <c r="X152" s="92"/>
      <c r="Y152" s="92"/>
      <c r="Z152" s="92"/>
      <c r="AA152" s="92"/>
      <c r="AB152" s="92"/>
      <c r="AC152" s="92"/>
    </row>
    <row r="153" spans="10:29" ht="12.75">
      <c r="J153" s="92"/>
      <c r="K153" s="92"/>
      <c r="L153" s="92"/>
      <c r="M153" s="92"/>
      <c r="N153" s="92"/>
      <c r="O153" s="92"/>
      <c r="P153" s="92"/>
      <c r="Q153" s="92"/>
      <c r="R153" s="92"/>
      <c r="S153" s="92"/>
      <c r="T153" s="92"/>
      <c r="U153" s="92"/>
      <c r="V153" s="92"/>
      <c r="W153" s="92"/>
      <c r="X153" s="92"/>
      <c r="Y153" s="92"/>
      <c r="Z153" s="92"/>
      <c r="AA153" s="92"/>
      <c r="AB153" s="92"/>
      <c r="AC153" s="92"/>
    </row>
    <row r="154" spans="10:29" ht="12.75">
      <c r="J154" s="92"/>
      <c r="K154" s="92"/>
      <c r="L154" s="92"/>
      <c r="M154" s="92"/>
      <c r="N154" s="92"/>
      <c r="O154" s="92"/>
      <c r="P154" s="92"/>
      <c r="Q154" s="92"/>
      <c r="R154" s="92"/>
      <c r="S154" s="92"/>
      <c r="T154" s="92"/>
      <c r="U154" s="92"/>
      <c r="V154" s="92"/>
      <c r="W154" s="92"/>
      <c r="X154" s="92"/>
      <c r="Y154" s="92"/>
      <c r="Z154" s="92"/>
      <c r="AA154" s="92"/>
      <c r="AB154" s="92"/>
      <c r="AC154" s="92"/>
    </row>
    <row r="155" spans="10:29" ht="12.75">
      <c r="J155" s="92"/>
      <c r="K155" s="92"/>
      <c r="L155" s="92"/>
      <c r="M155" s="92"/>
      <c r="N155" s="92"/>
      <c r="O155" s="92"/>
      <c r="P155" s="92"/>
      <c r="Q155" s="92"/>
      <c r="R155" s="92"/>
      <c r="S155" s="92"/>
      <c r="T155" s="92"/>
      <c r="U155" s="92"/>
      <c r="V155" s="92"/>
      <c r="W155" s="92"/>
      <c r="X155" s="92"/>
      <c r="Y155" s="92"/>
      <c r="Z155" s="92"/>
      <c r="AA155" s="92"/>
      <c r="AB155" s="92"/>
      <c r="AC155" s="92"/>
    </row>
  </sheetData>
  <mergeCells count="4">
    <mergeCell ref="C16:C17"/>
    <mergeCell ref="D16:D17"/>
    <mergeCell ref="E16:E17"/>
    <mergeCell ref="F16:F17"/>
  </mergeCells>
  <printOptions/>
  <pageMargins left="0.75" right="0.75" top="0.57" bottom="0.24" header="0.15" footer="0.2"/>
  <pageSetup horizontalDpi="300" verticalDpi="300" orientation="portrait" scale="84" r:id="rId1"/>
  <rowBreaks count="1" manualBreakCount="1">
    <brk id="65" max="255" man="1"/>
  </rowBreaks>
</worksheet>
</file>

<file path=xl/worksheets/sheet5.xml><?xml version="1.0" encoding="utf-8"?>
<worksheet xmlns="http://schemas.openxmlformats.org/spreadsheetml/2006/main" xmlns:r="http://schemas.openxmlformats.org/officeDocument/2006/relationships">
  <dimension ref="A1:AG99"/>
  <sheetViews>
    <sheetView workbookViewId="0" topLeftCell="A1">
      <pane ySplit="1" topLeftCell="BM2" activePane="bottomLeft" state="frozen"/>
      <selection pane="topLeft" activeCell="A1" sqref="A1"/>
      <selection pane="bottomLeft" activeCell="A7" sqref="A7:AB7"/>
    </sheetView>
  </sheetViews>
  <sheetFormatPr defaultColWidth="9.140625" defaultRowHeight="12.75"/>
  <cols>
    <col min="1" max="1" width="5.57421875" style="0" customWidth="1"/>
    <col min="2" max="2" width="4.28125" style="0" customWidth="1"/>
    <col min="3" max="3" width="3.57421875" style="0" customWidth="1"/>
    <col min="4" max="4" width="4.28125" style="0" customWidth="1"/>
    <col min="5" max="5" width="29.7109375" style="0" customWidth="1"/>
    <col min="6" max="6" width="3.8515625" style="0" customWidth="1"/>
    <col min="7" max="7" width="4.00390625" style="0" customWidth="1"/>
    <col min="8" max="8" width="2.8515625" style="0" customWidth="1"/>
    <col min="9" max="9" width="4.28125" style="0" customWidth="1"/>
    <col min="10" max="10" width="3.00390625" style="0" customWidth="1"/>
    <col min="11" max="13" width="2.8515625" style="0" customWidth="1"/>
    <col min="14" max="14" width="2.57421875" style="0" customWidth="1"/>
    <col min="15" max="15" width="3.7109375" style="0" customWidth="1"/>
    <col min="16" max="16" width="3.57421875" style="0" customWidth="1"/>
    <col min="17" max="17" width="3.00390625" style="0" customWidth="1"/>
    <col min="18" max="18" width="3.28125" style="0" customWidth="1"/>
    <col min="19" max="19" width="3.8515625" style="0" customWidth="1"/>
    <col min="20" max="20" width="3.00390625" style="0" customWidth="1"/>
    <col min="21" max="21" width="4.00390625" style="0" customWidth="1"/>
    <col min="22" max="26" width="3.00390625" style="0" customWidth="1"/>
    <col min="27" max="27" width="4.421875" style="0" customWidth="1"/>
  </cols>
  <sheetData>
    <row r="1" spans="1:33" ht="135.75" customHeight="1">
      <c r="A1" s="266"/>
      <c r="B1" s="267" t="s">
        <v>1603</v>
      </c>
      <c r="C1" s="266" t="s">
        <v>1265</v>
      </c>
      <c r="D1" s="266" t="s">
        <v>1604</v>
      </c>
      <c r="E1" s="266" t="s">
        <v>2075</v>
      </c>
      <c r="F1" s="267" t="s">
        <v>1932</v>
      </c>
      <c r="G1" s="268" t="s">
        <v>559</v>
      </c>
      <c r="H1" s="268" t="s">
        <v>585</v>
      </c>
      <c r="I1" s="268" t="s">
        <v>584</v>
      </c>
      <c r="J1" s="268" t="s">
        <v>583</v>
      </c>
      <c r="K1" s="268" t="s">
        <v>582</v>
      </c>
      <c r="L1" s="268" t="s">
        <v>581</v>
      </c>
      <c r="M1" s="268" t="s">
        <v>580</v>
      </c>
      <c r="N1" s="268" t="s">
        <v>579</v>
      </c>
      <c r="O1" s="279" t="s">
        <v>560</v>
      </c>
      <c r="P1" s="268" t="s">
        <v>1798</v>
      </c>
      <c r="Q1" s="268" t="s">
        <v>1797</v>
      </c>
      <c r="R1" s="268" t="s">
        <v>1785</v>
      </c>
      <c r="S1" s="268" t="s">
        <v>1820</v>
      </c>
      <c r="T1" s="268" t="s">
        <v>563</v>
      </c>
      <c r="U1" s="268" t="s">
        <v>572</v>
      </c>
      <c r="V1" s="268" t="s">
        <v>571</v>
      </c>
      <c r="W1" s="268" t="s">
        <v>575</v>
      </c>
      <c r="X1" s="268" t="s">
        <v>576</v>
      </c>
      <c r="Y1" s="268" t="s">
        <v>577</v>
      </c>
      <c r="Z1" s="268" t="s">
        <v>578</v>
      </c>
      <c r="AA1" s="268" t="s">
        <v>553</v>
      </c>
      <c r="AB1" s="268"/>
      <c r="AC1" s="268" t="s">
        <v>334</v>
      </c>
      <c r="AD1" s="266"/>
      <c r="AE1" s="266"/>
      <c r="AF1" s="266"/>
      <c r="AG1" s="266"/>
    </row>
    <row r="2" spans="1:29" ht="12.75">
      <c r="A2" s="9">
        <f>G2*U2</f>
        <v>60</v>
      </c>
      <c r="B2">
        <v>16</v>
      </c>
      <c r="C2" s="2">
        <f aca="true" t="shared" si="0" ref="C2:C14">B2/28.349523</f>
        <v>0.5643833936817914</v>
      </c>
      <c r="D2" s="2">
        <f aca="true" t="shared" si="1" ref="D2:D14">C2/16</f>
        <v>0.03527396210511196</v>
      </c>
      <c r="E2" s="11" t="s">
        <v>1679</v>
      </c>
      <c r="F2" s="9">
        <v>16</v>
      </c>
      <c r="G2">
        <v>60</v>
      </c>
      <c r="H2">
        <v>0</v>
      </c>
      <c r="I2" s="10">
        <v>0</v>
      </c>
      <c r="J2" s="6">
        <v>0</v>
      </c>
      <c r="K2" s="6">
        <v>15.9</v>
      </c>
      <c r="L2" s="6">
        <v>15</v>
      </c>
      <c r="M2" s="6">
        <v>0</v>
      </c>
      <c r="N2" s="6">
        <v>0</v>
      </c>
      <c r="O2" s="2">
        <f>G2/F2</f>
        <v>3.75</v>
      </c>
      <c r="P2" s="42">
        <f>100*4*M2/G2</f>
        <v>0</v>
      </c>
      <c r="Q2" s="9">
        <f>100*9*H2/G2</f>
        <v>0</v>
      </c>
      <c r="R2" s="29">
        <f>100*(I2*9)/G2</f>
        <v>0</v>
      </c>
      <c r="S2" s="29">
        <f aca="true" t="shared" si="2" ref="S2:S7">100*K2*4/G2</f>
        <v>106</v>
      </c>
      <c r="T2" s="42">
        <f>100*N2/F2</f>
        <v>0</v>
      </c>
      <c r="U2" s="44">
        <f aca="true" t="shared" si="3" ref="U2:U10">B2/F2</f>
        <v>1</v>
      </c>
      <c r="V2" s="16">
        <f>U2*M2</f>
        <v>0</v>
      </c>
      <c r="W2" s="9">
        <f>U2*H2</f>
        <v>0</v>
      </c>
      <c r="X2" s="9">
        <f>U2*K2</f>
        <v>15.9</v>
      </c>
      <c r="Y2" s="9">
        <f>N2*U2</f>
        <v>0</v>
      </c>
      <c r="Z2">
        <f>U2*J2</f>
        <v>0</v>
      </c>
      <c r="AA2" s="2">
        <f>I2*U2</f>
        <v>0</v>
      </c>
      <c r="AB2" s="9" t="s">
        <v>2062</v>
      </c>
      <c r="AC2" s="9"/>
    </row>
    <row r="3" spans="1:29" ht="12.75">
      <c r="A3" s="9">
        <f>G3*U3</f>
        <v>60</v>
      </c>
      <c r="B3">
        <v>16</v>
      </c>
      <c r="C3" s="2">
        <f t="shared" si="0"/>
        <v>0.5643833936817914</v>
      </c>
      <c r="D3" s="2">
        <f>C3/16</f>
        <v>0.03527396210511196</v>
      </c>
      <c r="E3" s="11" t="s">
        <v>395</v>
      </c>
      <c r="F3" s="9">
        <v>16</v>
      </c>
      <c r="G3">
        <v>60</v>
      </c>
      <c r="H3">
        <v>0</v>
      </c>
      <c r="I3" s="10">
        <v>0</v>
      </c>
      <c r="J3" s="6">
        <v>0</v>
      </c>
      <c r="K3" s="6">
        <v>15.9</v>
      </c>
      <c r="L3" s="6">
        <v>15</v>
      </c>
      <c r="M3" s="6">
        <v>0</v>
      </c>
      <c r="N3" s="6">
        <v>0</v>
      </c>
      <c r="O3" s="2">
        <f>G3/F3</f>
        <v>3.75</v>
      </c>
      <c r="P3" s="42">
        <f>100*4*M3/G3</f>
        <v>0</v>
      </c>
      <c r="Q3" s="9">
        <f>100*9*H3/G3</f>
        <v>0</v>
      </c>
      <c r="R3" s="29">
        <f>100*(I3*9)/G3</f>
        <v>0</v>
      </c>
      <c r="S3" s="29">
        <f t="shared" si="2"/>
        <v>106</v>
      </c>
      <c r="T3" s="42">
        <f>100*N3/F3</f>
        <v>0</v>
      </c>
      <c r="U3" s="44">
        <f t="shared" si="3"/>
        <v>1</v>
      </c>
      <c r="V3" s="16">
        <f>U3*M3</f>
        <v>0</v>
      </c>
      <c r="W3" s="9">
        <f>U3*H3</f>
        <v>0</v>
      </c>
      <c r="X3" s="141">
        <f>U3*K3</f>
        <v>15.9</v>
      </c>
      <c r="Y3" s="9">
        <f>N3*U3</f>
        <v>0</v>
      </c>
      <c r="Z3">
        <f>U3*J3</f>
        <v>0</v>
      </c>
      <c r="AA3" s="2">
        <f>I3*U3</f>
        <v>0</v>
      </c>
      <c r="AB3" s="9" t="s">
        <v>2062</v>
      </c>
      <c r="AC3" s="9"/>
    </row>
    <row r="4" spans="1:29" ht="12.75">
      <c r="A4" s="9">
        <f aca="true" t="shared" si="4" ref="A4:A14">G4*U4</f>
        <v>60</v>
      </c>
      <c r="B4">
        <v>17</v>
      </c>
      <c r="C4" s="2">
        <f t="shared" si="0"/>
        <v>0.5996573557869034</v>
      </c>
      <c r="D4" s="2">
        <f t="shared" si="1"/>
        <v>0.03747858473668146</v>
      </c>
      <c r="E4" s="11" t="s">
        <v>1628</v>
      </c>
      <c r="F4" s="9">
        <v>17</v>
      </c>
      <c r="G4">
        <v>60</v>
      </c>
      <c r="H4">
        <v>0</v>
      </c>
      <c r="I4" s="10">
        <v>0</v>
      </c>
      <c r="J4" s="6">
        <v>0</v>
      </c>
      <c r="K4" s="6">
        <v>15.9</v>
      </c>
      <c r="L4" s="6">
        <v>16</v>
      </c>
      <c r="M4" s="6">
        <v>0</v>
      </c>
      <c r="N4" s="6">
        <v>0</v>
      </c>
      <c r="O4" s="2">
        <f aca="true" t="shared" si="5" ref="O4:O14">G4/F4</f>
        <v>3.5294117647058822</v>
      </c>
      <c r="P4" s="42">
        <f aca="true" t="shared" si="6" ref="P4:P14">100*4*M4/G4</f>
        <v>0</v>
      </c>
      <c r="Q4" s="9">
        <f aca="true" t="shared" si="7" ref="Q4:Q14">100*9*H4/G4</f>
        <v>0</v>
      </c>
      <c r="R4" s="29">
        <f aca="true" t="shared" si="8" ref="R4:R14">100*(I4*9)/G4</f>
        <v>0</v>
      </c>
      <c r="S4" s="29">
        <f t="shared" si="2"/>
        <v>106</v>
      </c>
      <c r="T4" s="42">
        <f aca="true" t="shared" si="9" ref="T4:T14">100*N4/F4</f>
        <v>0</v>
      </c>
      <c r="U4" s="44">
        <f t="shared" si="3"/>
        <v>1</v>
      </c>
      <c r="V4" s="16">
        <f aca="true" t="shared" si="10" ref="V4:V14">U4*M4</f>
        <v>0</v>
      </c>
      <c r="W4" s="9">
        <f aca="true" t="shared" si="11" ref="W4:W14">U4*H4</f>
        <v>0</v>
      </c>
      <c r="X4" s="9">
        <f aca="true" t="shared" si="12" ref="X4:X14">U4*K4</f>
        <v>15.9</v>
      </c>
      <c r="Y4" s="9">
        <f aca="true" t="shared" si="13" ref="Y4:Y14">N4*U4</f>
        <v>0</v>
      </c>
      <c r="Z4">
        <f aca="true" t="shared" si="14" ref="Z4:Z14">U4*J4</f>
        <v>0</v>
      </c>
      <c r="AA4" s="2">
        <f aca="true" t="shared" si="15" ref="AA4:AA14">I4*U4</f>
        <v>0</v>
      </c>
      <c r="AB4" s="9" t="s">
        <v>2062</v>
      </c>
      <c r="AC4" s="9"/>
    </row>
    <row r="5" spans="1:29" ht="12.75">
      <c r="A5" s="9">
        <f>G5*U5</f>
        <v>150</v>
      </c>
      <c r="B5" s="9">
        <v>41</v>
      </c>
      <c r="C5" s="2">
        <f t="shared" si="0"/>
        <v>1.4462324463095904</v>
      </c>
      <c r="D5" s="2">
        <f t="shared" si="1"/>
        <v>0.0903895278943494</v>
      </c>
      <c r="E5" s="11" t="s">
        <v>1274</v>
      </c>
      <c r="F5" s="9">
        <v>41</v>
      </c>
      <c r="G5">
        <v>150</v>
      </c>
      <c r="H5">
        <v>0</v>
      </c>
      <c r="I5" s="10">
        <v>0</v>
      </c>
      <c r="J5" s="6">
        <v>0</v>
      </c>
      <c r="K5" s="6">
        <v>37</v>
      </c>
      <c r="L5" s="6">
        <v>34</v>
      </c>
      <c r="M5" s="6">
        <v>0</v>
      </c>
      <c r="N5" s="6">
        <v>0</v>
      </c>
      <c r="O5" s="2">
        <f>G5/F5</f>
        <v>3.658536585365854</v>
      </c>
      <c r="P5" s="42">
        <f>100*4*M5/G5</f>
        <v>0</v>
      </c>
      <c r="Q5" s="9">
        <f>100*9*H5/G5</f>
        <v>0</v>
      </c>
      <c r="R5" s="29">
        <f>100*(I5*9)/G5</f>
        <v>0</v>
      </c>
      <c r="S5" s="29">
        <f>100*K5*4/G5</f>
        <v>98.66666666666667</v>
      </c>
      <c r="T5" s="42">
        <f>100*N5/F5</f>
        <v>0</v>
      </c>
      <c r="U5" s="44">
        <f>B5/F5</f>
        <v>1</v>
      </c>
      <c r="V5" s="16">
        <f>U5*M5</f>
        <v>0</v>
      </c>
      <c r="W5" s="9">
        <f>U5*H5</f>
        <v>0</v>
      </c>
      <c r="X5" s="9">
        <f>U5*K5</f>
        <v>37</v>
      </c>
      <c r="Y5" s="9">
        <f>N5*U5</f>
        <v>0</v>
      </c>
      <c r="Z5">
        <f>U5*J5</f>
        <v>0</v>
      </c>
      <c r="AA5" s="2">
        <f>I5*U5</f>
        <v>0</v>
      </c>
      <c r="AB5" s="9" t="s">
        <v>2062</v>
      </c>
      <c r="AC5" s="9"/>
    </row>
    <row r="6" spans="1:29" ht="12.75">
      <c r="A6" s="9">
        <f>G6*U6</f>
        <v>60</v>
      </c>
      <c r="B6" s="9">
        <v>15</v>
      </c>
      <c r="C6" s="2">
        <f t="shared" si="0"/>
        <v>0.5291094315766794</v>
      </c>
      <c r="D6" s="2">
        <f t="shared" si="1"/>
        <v>0.033069339473542465</v>
      </c>
      <c r="E6" s="11" t="s">
        <v>1678</v>
      </c>
      <c r="F6" s="9">
        <v>15</v>
      </c>
      <c r="G6">
        <v>60</v>
      </c>
      <c r="H6">
        <v>0</v>
      </c>
      <c r="I6" s="10">
        <v>0</v>
      </c>
      <c r="J6" s="6">
        <v>0</v>
      </c>
      <c r="K6" s="6">
        <v>14</v>
      </c>
      <c r="L6" s="6">
        <v>12</v>
      </c>
      <c r="M6" s="6">
        <v>0</v>
      </c>
      <c r="N6" s="6">
        <v>0</v>
      </c>
      <c r="O6" s="2">
        <f>G6/F6</f>
        <v>4</v>
      </c>
      <c r="P6" s="42">
        <f>100*4*M6/G6</f>
        <v>0</v>
      </c>
      <c r="Q6" s="9">
        <f>100*9*H6/G6</f>
        <v>0</v>
      </c>
      <c r="R6" s="29">
        <f>100*(I6*9)/G6</f>
        <v>0</v>
      </c>
      <c r="S6" s="29">
        <f t="shared" si="2"/>
        <v>93.33333333333333</v>
      </c>
      <c r="T6" s="42">
        <f>100*N6/F6</f>
        <v>0</v>
      </c>
      <c r="U6" s="44">
        <f t="shared" si="3"/>
        <v>1</v>
      </c>
      <c r="V6" s="16">
        <f>U6*M6</f>
        <v>0</v>
      </c>
      <c r="W6" s="9">
        <f>U6*H6</f>
        <v>0</v>
      </c>
      <c r="X6" s="9">
        <f>U6*K6</f>
        <v>14</v>
      </c>
      <c r="Y6" s="9">
        <f>N6*U6</f>
        <v>0</v>
      </c>
      <c r="Z6">
        <f>U6*J6</f>
        <v>0</v>
      </c>
      <c r="AA6" s="2">
        <f>I6*U6</f>
        <v>0</v>
      </c>
      <c r="AB6" s="9" t="s">
        <v>2062</v>
      </c>
      <c r="AC6" s="9"/>
    </row>
    <row r="7" spans="1:29" ht="12.75">
      <c r="A7" s="9">
        <f t="shared" si="4"/>
        <v>60</v>
      </c>
      <c r="B7" s="9">
        <v>16</v>
      </c>
      <c r="C7" s="2">
        <f t="shared" si="0"/>
        <v>0.5643833936817914</v>
      </c>
      <c r="D7" s="2">
        <f t="shared" si="1"/>
        <v>0.03527396210511196</v>
      </c>
      <c r="E7" s="11" t="s">
        <v>870</v>
      </c>
      <c r="F7" s="9">
        <v>16</v>
      </c>
      <c r="G7">
        <v>60</v>
      </c>
      <c r="H7">
        <v>0</v>
      </c>
      <c r="I7" s="10">
        <v>0</v>
      </c>
      <c r="J7" s="6">
        <v>0</v>
      </c>
      <c r="K7" s="6">
        <v>16</v>
      </c>
      <c r="L7" s="6">
        <v>10</v>
      </c>
      <c r="M7" s="6">
        <v>0</v>
      </c>
      <c r="N7" s="6">
        <v>0</v>
      </c>
      <c r="O7" s="2">
        <f t="shared" si="5"/>
        <v>3.75</v>
      </c>
      <c r="P7" s="42">
        <f t="shared" si="6"/>
        <v>0</v>
      </c>
      <c r="Q7" s="9">
        <f t="shared" si="7"/>
        <v>0</v>
      </c>
      <c r="R7" s="29">
        <f t="shared" si="8"/>
        <v>0</v>
      </c>
      <c r="S7" s="29">
        <f t="shared" si="2"/>
        <v>106.66666666666667</v>
      </c>
      <c r="T7" s="42">
        <f t="shared" si="9"/>
        <v>0</v>
      </c>
      <c r="U7" s="44">
        <f t="shared" si="3"/>
        <v>1</v>
      </c>
      <c r="V7" s="16">
        <f t="shared" si="10"/>
        <v>0</v>
      </c>
      <c r="W7" s="9">
        <f t="shared" si="11"/>
        <v>0</v>
      </c>
      <c r="X7" s="9">
        <f t="shared" si="12"/>
        <v>16</v>
      </c>
      <c r="Y7" s="9">
        <f t="shared" si="13"/>
        <v>0</v>
      </c>
      <c r="Z7">
        <f t="shared" si="14"/>
        <v>0</v>
      </c>
      <c r="AA7" s="2">
        <f t="shared" si="15"/>
        <v>0</v>
      </c>
      <c r="AB7" s="9" t="s">
        <v>2062</v>
      </c>
      <c r="AC7" s="9"/>
    </row>
    <row r="8" spans="1:29" ht="12.75">
      <c r="A8" s="9">
        <f>G8*U8</f>
        <v>64.1</v>
      </c>
      <c r="B8">
        <v>17</v>
      </c>
      <c r="C8" s="2">
        <f>B8/28.349523</f>
        <v>0.5996573557869034</v>
      </c>
      <c r="D8" s="2">
        <f>C8/16</f>
        <v>0.03747858473668146</v>
      </c>
      <c r="E8" s="11" t="s">
        <v>871</v>
      </c>
      <c r="F8" s="9">
        <v>17</v>
      </c>
      <c r="G8">
        <v>64.1</v>
      </c>
      <c r="H8">
        <v>0</v>
      </c>
      <c r="I8" s="10">
        <v>0</v>
      </c>
      <c r="J8" s="6">
        <v>0</v>
      </c>
      <c r="K8" s="6">
        <v>15.9</v>
      </c>
      <c r="L8" s="6">
        <v>16</v>
      </c>
      <c r="M8" s="6">
        <v>0</v>
      </c>
      <c r="N8" s="6">
        <v>0</v>
      </c>
      <c r="O8" s="2">
        <f>G8/F8</f>
        <v>3.770588235294117</v>
      </c>
      <c r="P8" s="42">
        <f>100*4*M8/G8</f>
        <v>0</v>
      </c>
      <c r="Q8" s="9">
        <f>100*9*H8/G8</f>
        <v>0</v>
      </c>
      <c r="R8" s="29">
        <f>100*(I8*9)/G8</f>
        <v>0</v>
      </c>
      <c r="S8" s="29">
        <f>100*K8*4/G8</f>
        <v>99.21996879875196</v>
      </c>
      <c r="T8" s="42">
        <f>100*N8/F8</f>
        <v>0</v>
      </c>
      <c r="U8" s="44">
        <f>B8/F8</f>
        <v>1</v>
      </c>
      <c r="V8" s="16">
        <f>U8*M8</f>
        <v>0</v>
      </c>
      <c r="W8" s="9">
        <f>U8*H8</f>
        <v>0</v>
      </c>
      <c r="X8" s="9">
        <f>U8*K8</f>
        <v>15.9</v>
      </c>
      <c r="Y8" s="9">
        <f>N8*U8</f>
        <v>0</v>
      </c>
      <c r="Z8">
        <f>U8*J8</f>
        <v>0</v>
      </c>
      <c r="AA8" s="2">
        <f>I8*U8</f>
        <v>0</v>
      </c>
      <c r="AB8" s="9" t="s">
        <v>2062</v>
      </c>
      <c r="AC8" s="9"/>
    </row>
    <row r="9" spans="1:29" ht="12.75">
      <c r="A9" s="9">
        <f t="shared" si="4"/>
        <v>60</v>
      </c>
      <c r="B9">
        <v>15</v>
      </c>
      <c r="C9" s="2">
        <f t="shared" si="0"/>
        <v>0.5291094315766794</v>
      </c>
      <c r="D9" s="2">
        <f t="shared" si="1"/>
        <v>0.033069339473542465</v>
      </c>
      <c r="E9" s="11" t="s">
        <v>636</v>
      </c>
      <c r="F9" s="9">
        <v>15</v>
      </c>
      <c r="G9">
        <v>60</v>
      </c>
      <c r="H9">
        <v>1</v>
      </c>
      <c r="I9" s="10">
        <v>0</v>
      </c>
      <c r="J9" s="6">
        <v>0</v>
      </c>
      <c r="K9" s="6">
        <v>14</v>
      </c>
      <c r="L9" s="6">
        <v>14</v>
      </c>
      <c r="M9" s="6">
        <v>0</v>
      </c>
      <c r="N9" s="6">
        <v>0</v>
      </c>
      <c r="O9" s="2">
        <f t="shared" si="5"/>
        <v>4</v>
      </c>
      <c r="P9" s="42">
        <f t="shared" si="6"/>
        <v>0</v>
      </c>
      <c r="Q9" s="9">
        <f t="shared" si="7"/>
        <v>15</v>
      </c>
      <c r="R9" s="29">
        <f t="shared" si="8"/>
        <v>0</v>
      </c>
      <c r="S9" s="29">
        <f aca="true" t="shared" si="16" ref="S9:S29">100*K9*4/G9</f>
        <v>93.33333333333333</v>
      </c>
      <c r="T9" s="42">
        <f t="shared" si="9"/>
        <v>0</v>
      </c>
      <c r="U9" s="44">
        <f t="shared" si="3"/>
        <v>1</v>
      </c>
      <c r="V9" s="16">
        <f t="shared" si="10"/>
        <v>0</v>
      </c>
      <c r="W9" s="9">
        <f t="shared" si="11"/>
        <v>1</v>
      </c>
      <c r="X9" s="9">
        <f t="shared" si="12"/>
        <v>14</v>
      </c>
      <c r="Y9" s="9">
        <f t="shared" si="13"/>
        <v>0</v>
      </c>
      <c r="Z9">
        <f t="shared" si="14"/>
        <v>0</v>
      </c>
      <c r="AA9" s="2">
        <f t="shared" si="15"/>
        <v>0</v>
      </c>
      <c r="AB9" s="9" t="s">
        <v>2062</v>
      </c>
      <c r="AC9" s="9"/>
    </row>
    <row r="10" spans="1:29" ht="12.75">
      <c r="A10" s="9">
        <f>G10*U10</f>
        <v>150</v>
      </c>
      <c r="B10">
        <v>30</v>
      </c>
      <c r="C10" s="2">
        <f t="shared" si="0"/>
        <v>1.058218863153359</v>
      </c>
      <c r="D10" s="2">
        <f t="shared" si="1"/>
        <v>0.06613867894708493</v>
      </c>
      <c r="E10" s="11" t="s">
        <v>45</v>
      </c>
      <c r="F10" s="9">
        <v>30</v>
      </c>
      <c r="G10">
        <v>150</v>
      </c>
      <c r="H10">
        <v>10</v>
      </c>
      <c r="I10" s="10">
        <v>1.5</v>
      </c>
      <c r="J10" s="6">
        <v>0</v>
      </c>
      <c r="K10" s="6">
        <v>13</v>
      </c>
      <c r="L10" s="6">
        <v>7</v>
      </c>
      <c r="M10" s="6">
        <v>4</v>
      </c>
      <c r="N10" s="6">
        <v>2</v>
      </c>
      <c r="O10" s="2">
        <f>G10/F10</f>
        <v>5</v>
      </c>
      <c r="P10" s="16">
        <f>100*4*M10/G10</f>
        <v>10.666666666666666</v>
      </c>
      <c r="Q10" s="9">
        <f>100*9*H10/G10</f>
        <v>60</v>
      </c>
      <c r="R10" s="16">
        <f>100*(I10*9)/G10</f>
        <v>9</v>
      </c>
      <c r="S10" s="16">
        <f>100*K10*4/G10</f>
        <v>34.666666666666664</v>
      </c>
      <c r="T10" s="9">
        <f>100*N10/F10</f>
        <v>6.666666666666667</v>
      </c>
      <c r="U10" s="44">
        <f t="shared" si="3"/>
        <v>1</v>
      </c>
      <c r="V10" s="16">
        <f>U10*M10</f>
        <v>4</v>
      </c>
      <c r="W10" s="9">
        <f>U10*H10</f>
        <v>10</v>
      </c>
      <c r="X10" s="9">
        <f>U10*K10</f>
        <v>13</v>
      </c>
      <c r="Y10" s="9">
        <f>N10*U10</f>
        <v>2</v>
      </c>
      <c r="Z10">
        <f>U10*J10</f>
        <v>0</v>
      </c>
      <c r="AA10" s="2">
        <f>I10*U10</f>
        <v>1.5</v>
      </c>
      <c r="AB10" s="9"/>
      <c r="AC10" s="9"/>
    </row>
    <row r="11" spans="1:29" ht="12.75">
      <c r="A11" s="9">
        <f t="shared" si="4"/>
        <v>140</v>
      </c>
      <c r="B11">
        <v>30</v>
      </c>
      <c r="C11" s="2">
        <f t="shared" si="0"/>
        <v>1.058218863153359</v>
      </c>
      <c r="D11" s="2">
        <f t="shared" si="1"/>
        <v>0.06613867894708493</v>
      </c>
      <c r="E11" s="11" t="s">
        <v>473</v>
      </c>
      <c r="F11" s="9">
        <v>30</v>
      </c>
      <c r="G11">
        <v>140</v>
      </c>
      <c r="H11">
        <v>7</v>
      </c>
      <c r="I11" s="10">
        <v>2</v>
      </c>
      <c r="J11" s="6">
        <v>0</v>
      </c>
      <c r="K11" s="6">
        <v>16</v>
      </c>
      <c r="L11" s="6">
        <v>13</v>
      </c>
      <c r="M11" s="6">
        <v>3</v>
      </c>
      <c r="N11" s="6">
        <v>2</v>
      </c>
      <c r="O11" s="2">
        <f t="shared" si="5"/>
        <v>4.666666666666667</v>
      </c>
      <c r="P11" s="16">
        <f t="shared" si="6"/>
        <v>8.571428571428571</v>
      </c>
      <c r="Q11" s="9">
        <f t="shared" si="7"/>
        <v>45</v>
      </c>
      <c r="R11" s="16">
        <f t="shared" si="8"/>
        <v>12.857142857142858</v>
      </c>
      <c r="S11" s="16">
        <f>100*K11*4/G11</f>
        <v>45.714285714285715</v>
      </c>
      <c r="T11" s="9">
        <f t="shared" si="9"/>
        <v>6.666666666666667</v>
      </c>
      <c r="U11" s="44">
        <f aca="true" t="shared" si="17" ref="U11:U23">B11/F11</f>
        <v>1</v>
      </c>
      <c r="V11" s="16">
        <f t="shared" si="10"/>
        <v>3</v>
      </c>
      <c r="W11" s="9">
        <f t="shared" si="11"/>
        <v>7</v>
      </c>
      <c r="X11" s="9">
        <f t="shared" si="12"/>
        <v>16</v>
      </c>
      <c r="Y11" s="9">
        <f t="shared" si="13"/>
        <v>2</v>
      </c>
      <c r="Z11">
        <f t="shared" si="14"/>
        <v>0</v>
      </c>
      <c r="AA11" s="2">
        <f t="shared" si="15"/>
        <v>2</v>
      </c>
      <c r="AB11" s="9"/>
      <c r="AC11" s="9"/>
    </row>
    <row r="12" spans="1:29" ht="12.75">
      <c r="A12" s="9">
        <f t="shared" si="4"/>
        <v>140</v>
      </c>
      <c r="B12">
        <v>35</v>
      </c>
      <c r="C12" s="2">
        <f t="shared" si="0"/>
        <v>1.2345886736789187</v>
      </c>
      <c r="D12" s="2">
        <f t="shared" si="1"/>
        <v>0.07716179210493242</v>
      </c>
      <c r="E12" s="11" t="s">
        <v>43</v>
      </c>
      <c r="F12" s="9">
        <v>35</v>
      </c>
      <c r="G12">
        <v>140</v>
      </c>
      <c r="H12">
        <v>3.5</v>
      </c>
      <c r="I12" s="10">
        <v>0</v>
      </c>
      <c r="J12" s="6">
        <v>0</v>
      </c>
      <c r="K12" s="6">
        <v>26</v>
      </c>
      <c r="L12" s="6">
        <v>13</v>
      </c>
      <c r="M12" s="6">
        <v>2</v>
      </c>
      <c r="N12" s="6">
        <v>1</v>
      </c>
      <c r="O12" s="2">
        <f t="shared" si="5"/>
        <v>4</v>
      </c>
      <c r="P12" s="16">
        <f t="shared" si="6"/>
        <v>5.714285714285714</v>
      </c>
      <c r="Q12" s="9">
        <f t="shared" si="7"/>
        <v>22.5</v>
      </c>
      <c r="R12" s="29">
        <f t="shared" si="8"/>
        <v>0</v>
      </c>
      <c r="S12" s="16">
        <f>100*K12*4/G12</f>
        <v>74.28571428571429</v>
      </c>
      <c r="T12" s="9">
        <f t="shared" si="9"/>
        <v>2.857142857142857</v>
      </c>
      <c r="U12" s="44">
        <f>B12/F12</f>
        <v>1</v>
      </c>
      <c r="V12" s="16">
        <f t="shared" si="10"/>
        <v>2</v>
      </c>
      <c r="W12" s="9">
        <f t="shared" si="11"/>
        <v>3.5</v>
      </c>
      <c r="X12" s="9">
        <f t="shared" si="12"/>
        <v>26</v>
      </c>
      <c r="Y12" s="9">
        <f t="shared" si="13"/>
        <v>1</v>
      </c>
      <c r="Z12">
        <f t="shared" si="14"/>
        <v>0</v>
      </c>
      <c r="AA12" s="2">
        <f t="shared" si="15"/>
        <v>0</v>
      </c>
      <c r="AB12" s="9" t="s">
        <v>1823</v>
      </c>
      <c r="AC12" s="9"/>
    </row>
    <row r="13" spans="1:29" ht="12.75">
      <c r="A13" s="9">
        <f>G13*U13</f>
        <v>140</v>
      </c>
      <c r="B13">
        <v>35</v>
      </c>
      <c r="C13" s="2">
        <f t="shared" si="0"/>
        <v>1.2345886736789187</v>
      </c>
      <c r="D13" s="2">
        <f t="shared" si="1"/>
        <v>0.07716179210493242</v>
      </c>
      <c r="E13" s="11" t="s">
        <v>2004</v>
      </c>
      <c r="F13" s="9">
        <v>35</v>
      </c>
      <c r="G13">
        <v>140</v>
      </c>
      <c r="H13">
        <v>4</v>
      </c>
      <c r="I13" s="10">
        <v>0.5</v>
      </c>
      <c r="J13" s="6">
        <v>0</v>
      </c>
      <c r="K13" s="6">
        <v>24</v>
      </c>
      <c r="L13" s="6">
        <v>12</v>
      </c>
      <c r="M13" s="6">
        <v>3</v>
      </c>
      <c r="N13" s="6">
        <v>2</v>
      </c>
      <c r="O13" s="2">
        <f>G13/F13</f>
        <v>4</v>
      </c>
      <c r="P13" s="16">
        <f>100*4*M13/G13</f>
        <v>8.571428571428571</v>
      </c>
      <c r="Q13" s="9">
        <f>100*9*H13/G13</f>
        <v>25.714285714285715</v>
      </c>
      <c r="R13" s="29">
        <f>100*(I13*9)/G13</f>
        <v>3.2142857142857144</v>
      </c>
      <c r="S13" s="16">
        <f>100*K13*4/G13</f>
        <v>68.57142857142857</v>
      </c>
      <c r="T13" s="9">
        <f>100*N13/F13</f>
        <v>5.714285714285714</v>
      </c>
      <c r="U13" s="44">
        <f>B13/F13</f>
        <v>1</v>
      </c>
      <c r="V13" s="16">
        <f>U13*M13</f>
        <v>3</v>
      </c>
      <c r="W13" s="9">
        <f>U13*H13</f>
        <v>4</v>
      </c>
      <c r="X13" s="9">
        <f>U13*K13</f>
        <v>24</v>
      </c>
      <c r="Y13" s="9">
        <f>N13*U13</f>
        <v>2</v>
      </c>
      <c r="Z13">
        <f>U13*J13</f>
        <v>0</v>
      </c>
      <c r="AA13" s="2">
        <f>I13*U13</f>
        <v>0.5</v>
      </c>
      <c r="AB13" s="9" t="s">
        <v>1823</v>
      </c>
      <c r="AC13" s="9"/>
    </row>
    <row r="14" spans="1:29" ht="12.75">
      <c r="A14" s="9">
        <f t="shared" si="4"/>
        <v>140</v>
      </c>
      <c r="B14">
        <v>35</v>
      </c>
      <c r="C14" s="2">
        <f t="shared" si="0"/>
        <v>1.2345886736789187</v>
      </c>
      <c r="D14" s="2">
        <f t="shared" si="1"/>
        <v>0.07716179210493242</v>
      </c>
      <c r="E14" s="11" t="s">
        <v>2050</v>
      </c>
      <c r="F14" s="9">
        <v>35</v>
      </c>
      <c r="G14">
        <v>140</v>
      </c>
      <c r="H14">
        <v>4</v>
      </c>
      <c r="I14" s="10">
        <v>0.5</v>
      </c>
      <c r="J14" s="6">
        <v>0</v>
      </c>
      <c r="K14" s="6">
        <v>25</v>
      </c>
      <c r="L14" s="6">
        <v>13</v>
      </c>
      <c r="M14" s="6">
        <v>3</v>
      </c>
      <c r="N14" s="6">
        <v>1</v>
      </c>
      <c r="O14" s="2">
        <f t="shared" si="5"/>
        <v>4</v>
      </c>
      <c r="P14" s="16">
        <f t="shared" si="6"/>
        <v>8.571428571428571</v>
      </c>
      <c r="Q14" s="9">
        <f t="shared" si="7"/>
        <v>25.714285714285715</v>
      </c>
      <c r="R14" s="29">
        <f t="shared" si="8"/>
        <v>3.2142857142857144</v>
      </c>
      <c r="S14" s="16">
        <f>100*K14*4/G14</f>
        <v>71.42857142857143</v>
      </c>
      <c r="T14" s="9">
        <f t="shared" si="9"/>
        <v>2.857142857142857</v>
      </c>
      <c r="U14" s="44">
        <f t="shared" si="17"/>
        <v>1</v>
      </c>
      <c r="V14" s="16">
        <f t="shared" si="10"/>
        <v>3</v>
      </c>
      <c r="W14" s="9">
        <f t="shared" si="11"/>
        <v>4</v>
      </c>
      <c r="X14" s="9">
        <f t="shared" si="12"/>
        <v>25</v>
      </c>
      <c r="Y14" s="9">
        <f t="shared" si="13"/>
        <v>1</v>
      </c>
      <c r="Z14">
        <f t="shared" si="14"/>
        <v>0</v>
      </c>
      <c r="AA14" s="2">
        <f t="shared" si="15"/>
        <v>0.5</v>
      </c>
      <c r="AB14" s="9" t="s">
        <v>1823</v>
      </c>
      <c r="AC14" s="9"/>
    </row>
    <row r="15" spans="1:29" ht="12.75">
      <c r="A15" s="9">
        <f aca="true" t="shared" si="18" ref="A15:A29">G15*U15</f>
        <v>80</v>
      </c>
      <c r="B15">
        <v>45</v>
      </c>
      <c r="C15" s="2">
        <f aca="true" t="shared" si="19" ref="C15:C36">B15/28.349523</f>
        <v>1.5873282947300382</v>
      </c>
      <c r="D15" s="2">
        <f aca="true" t="shared" si="20" ref="D15:D36">C15/16</f>
        <v>0.09920801842062739</v>
      </c>
      <c r="E15" s="11" t="s">
        <v>1837</v>
      </c>
      <c r="F15" s="9">
        <v>45</v>
      </c>
      <c r="G15">
        <v>80</v>
      </c>
      <c r="H15">
        <v>0.5</v>
      </c>
      <c r="I15" s="10">
        <v>0</v>
      </c>
      <c r="J15">
        <v>0</v>
      </c>
      <c r="K15">
        <v>18</v>
      </c>
      <c r="L15">
        <v>3</v>
      </c>
      <c r="M15">
        <v>4</v>
      </c>
      <c r="N15">
        <v>7</v>
      </c>
      <c r="O15" s="2">
        <f aca="true" t="shared" si="21" ref="O15:O29">G15/F15</f>
        <v>1.7777777777777777</v>
      </c>
      <c r="P15" s="9">
        <f aca="true" t="shared" si="22" ref="P15:P29">100*4*M15/G15</f>
        <v>20</v>
      </c>
      <c r="Q15" s="42">
        <f aca="true" t="shared" si="23" ref="Q15:Q29">100*9*H15/G15</f>
        <v>5.625</v>
      </c>
      <c r="R15" s="29">
        <f aca="true" t="shared" si="24" ref="R15:R29">100*(I15*9)/G15</f>
        <v>0</v>
      </c>
      <c r="S15" s="29">
        <f t="shared" si="16"/>
        <v>90</v>
      </c>
      <c r="T15" s="29">
        <f aca="true" t="shared" si="25" ref="T15:T29">100*N15/F15</f>
        <v>15.555555555555555</v>
      </c>
      <c r="U15" s="44">
        <f t="shared" si="17"/>
        <v>1</v>
      </c>
      <c r="V15" s="9">
        <f aca="true" t="shared" si="26" ref="V15:V29">U15*M15</f>
        <v>4</v>
      </c>
      <c r="W15" s="9">
        <f aca="true" t="shared" si="27" ref="W15:W29">U15*H15</f>
        <v>0.5</v>
      </c>
      <c r="X15" s="9">
        <f aca="true" t="shared" si="28" ref="X15:X29">U15*K15</f>
        <v>18</v>
      </c>
      <c r="Y15" s="9">
        <f aca="true" t="shared" si="29" ref="Y15:Y29">N15*U15</f>
        <v>7</v>
      </c>
      <c r="Z15">
        <f aca="true" t="shared" si="30" ref="Z15:Z29">U15*J15</f>
        <v>0</v>
      </c>
      <c r="AA15" s="2">
        <f aca="true" t="shared" si="31" ref="AA15:AA29">I15*U15</f>
        <v>0</v>
      </c>
      <c r="AB15" s="9" t="s">
        <v>1587</v>
      </c>
      <c r="AC15" s="9"/>
    </row>
    <row r="16" spans="1:29" ht="12.75">
      <c r="A16" s="9">
        <f>G16*U16</f>
        <v>80</v>
      </c>
      <c r="B16">
        <v>28</v>
      </c>
      <c r="C16" s="2">
        <f t="shared" si="19"/>
        <v>0.987670938943135</v>
      </c>
      <c r="D16" s="2">
        <f t="shared" si="20"/>
        <v>0.061729433683945935</v>
      </c>
      <c r="E16" s="11" t="s">
        <v>1674</v>
      </c>
      <c r="F16" s="9">
        <v>28</v>
      </c>
      <c r="G16">
        <v>80</v>
      </c>
      <c r="H16">
        <v>0.5</v>
      </c>
      <c r="I16" s="10">
        <v>0</v>
      </c>
      <c r="J16">
        <v>30</v>
      </c>
      <c r="K16">
        <v>7</v>
      </c>
      <c r="L16">
        <v>5</v>
      </c>
      <c r="M16">
        <v>12</v>
      </c>
      <c r="N16">
        <v>0</v>
      </c>
      <c r="O16" s="2">
        <f>G16/F16</f>
        <v>2.857142857142857</v>
      </c>
      <c r="P16" s="29">
        <f>100*4*M16/G16</f>
        <v>60</v>
      </c>
      <c r="Q16" s="9">
        <f>100*9*H16/G16</f>
        <v>5.625</v>
      </c>
      <c r="R16" s="29">
        <f>100*(I16*9)/G16</f>
        <v>0</v>
      </c>
      <c r="S16" s="16">
        <f>100*K16*4/G16</f>
        <v>35</v>
      </c>
      <c r="T16" s="42">
        <f>100*N16/F16</f>
        <v>0</v>
      </c>
      <c r="U16" s="44">
        <f>B16/F16</f>
        <v>1</v>
      </c>
      <c r="V16" s="9">
        <f>U16*M16</f>
        <v>12</v>
      </c>
      <c r="W16" s="9">
        <f>U16*H16</f>
        <v>0.5</v>
      </c>
      <c r="X16" s="9">
        <f>U16*K16</f>
        <v>7</v>
      </c>
      <c r="Y16" s="9">
        <f>N16*U16</f>
        <v>0</v>
      </c>
      <c r="Z16">
        <f>U16*J16</f>
        <v>30</v>
      </c>
      <c r="AA16" s="2">
        <f>I16*U16</f>
        <v>0</v>
      </c>
      <c r="AB16" s="9"/>
      <c r="AC16" s="9"/>
    </row>
    <row r="17" spans="1:29" ht="12.75">
      <c r="A17" s="9">
        <f t="shared" si="18"/>
        <v>90</v>
      </c>
      <c r="B17">
        <v>28</v>
      </c>
      <c r="C17" s="2">
        <f t="shared" si="19"/>
        <v>0.987670938943135</v>
      </c>
      <c r="D17" s="2">
        <f t="shared" si="20"/>
        <v>0.061729433683945935</v>
      </c>
      <c r="E17" s="11" t="s">
        <v>357</v>
      </c>
      <c r="F17" s="9">
        <v>28</v>
      </c>
      <c r="G17">
        <v>90</v>
      </c>
      <c r="H17">
        <v>1.5</v>
      </c>
      <c r="I17" s="10">
        <v>0.5</v>
      </c>
      <c r="J17">
        <v>30</v>
      </c>
      <c r="K17">
        <v>8</v>
      </c>
      <c r="L17">
        <v>7</v>
      </c>
      <c r="M17">
        <v>11</v>
      </c>
      <c r="N17">
        <v>0</v>
      </c>
      <c r="O17" s="2">
        <f t="shared" si="21"/>
        <v>3.2142857142857144</v>
      </c>
      <c r="P17" s="29">
        <f t="shared" si="22"/>
        <v>48.888888888888886</v>
      </c>
      <c r="Q17" s="9">
        <f t="shared" si="23"/>
        <v>15</v>
      </c>
      <c r="R17" s="29">
        <f t="shared" si="24"/>
        <v>5</v>
      </c>
      <c r="S17" s="16">
        <f t="shared" si="16"/>
        <v>35.55555555555556</v>
      </c>
      <c r="T17" s="42">
        <f t="shared" si="25"/>
        <v>0</v>
      </c>
      <c r="U17" s="44">
        <f t="shared" si="17"/>
        <v>1</v>
      </c>
      <c r="V17" s="9">
        <f t="shared" si="26"/>
        <v>11</v>
      </c>
      <c r="W17" s="9">
        <f t="shared" si="27"/>
        <v>1.5</v>
      </c>
      <c r="X17" s="9">
        <f t="shared" si="28"/>
        <v>8</v>
      </c>
      <c r="Y17" s="9">
        <f t="shared" si="29"/>
        <v>0</v>
      </c>
      <c r="Z17">
        <f t="shared" si="30"/>
        <v>30</v>
      </c>
      <c r="AA17" s="2">
        <f t="shared" si="31"/>
        <v>0.5</v>
      </c>
      <c r="AB17" s="9"/>
      <c r="AC17" s="9"/>
    </row>
    <row r="18" spans="1:29" ht="12.75">
      <c r="A18" s="9">
        <f>G18*U18</f>
        <v>80</v>
      </c>
      <c r="B18">
        <v>28</v>
      </c>
      <c r="C18" s="2">
        <f t="shared" si="19"/>
        <v>0.987670938943135</v>
      </c>
      <c r="D18" s="2">
        <f t="shared" si="20"/>
        <v>0.061729433683945935</v>
      </c>
      <c r="E18" s="11" t="s">
        <v>2061</v>
      </c>
      <c r="F18" s="9">
        <v>28</v>
      </c>
      <c r="G18">
        <v>80</v>
      </c>
      <c r="H18">
        <v>1</v>
      </c>
      <c r="I18" s="10">
        <v>0.5</v>
      </c>
      <c r="J18">
        <v>25</v>
      </c>
      <c r="K18">
        <v>7</v>
      </c>
      <c r="L18">
        <v>6</v>
      </c>
      <c r="M18">
        <v>10</v>
      </c>
      <c r="N18">
        <v>0</v>
      </c>
      <c r="O18" s="2">
        <f>G18/F18</f>
        <v>2.857142857142857</v>
      </c>
      <c r="P18" s="29">
        <f>100*4*M18/G18</f>
        <v>50</v>
      </c>
      <c r="Q18" s="9">
        <f>100*9*H18/G18</f>
        <v>11.25</v>
      </c>
      <c r="R18" s="16">
        <f>100*(I18*9)/G18</f>
        <v>5.625</v>
      </c>
      <c r="S18" s="16">
        <f>100*K18*4/G18</f>
        <v>35</v>
      </c>
      <c r="T18" s="42">
        <f>100*N18/F18</f>
        <v>0</v>
      </c>
      <c r="U18" s="44">
        <f>B18/F18</f>
        <v>1</v>
      </c>
      <c r="V18" s="9">
        <f>U18*M18</f>
        <v>10</v>
      </c>
      <c r="W18" s="9">
        <f>U18*H18</f>
        <v>1</v>
      </c>
      <c r="X18" s="9">
        <f>U18*K18</f>
        <v>7</v>
      </c>
      <c r="Y18" s="9">
        <f>N18*U18</f>
        <v>0</v>
      </c>
      <c r="Z18">
        <f>U18*J18</f>
        <v>25</v>
      </c>
      <c r="AA18" s="2">
        <f>I18*U18</f>
        <v>0.5</v>
      </c>
      <c r="AB18" s="9" t="s">
        <v>1345</v>
      </c>
      <c r="AC18" s="9"/>
    </row>
    <row r="19" spans="1:30" ht="12.75">
      <c r="A19" s="9">
        <f>G19*U19</f>
        <v>80</v>
      </c>
      <c r="B19">
        <v>28</v>
      </c>
      <c r="C19" s="2">
        <f t="shared" si="19"/>
        <v>0.987670938943135</v>
      </c>
      <c r="D19" s="2">
        <f t="shared" si="20"/>
        <v>0.061729433683945935</v>
      </c>
      <c r="E19" s="11" t="s">
        <v>1936</v>
      </c>
      <c r="F19" s="9">
        <v>28</v>
      </c>
      <c r="G19">
        <v>80</v>
      </c>
      <c r="H19">
        <v>1</v>
      </c>
      <c r="I19" s="10">
        <v>0.5</v>
      </c>
      <c r="J19">
        <v>25</v>
      </c>
      <c r="K19">
        <v>4</v>
      </c>
      <c r="L19">
        <v>3</v>
      </c>
      <c r="M19">
        <v>15</v>
      </c>
      <c r="N19">
        <v>0</v>
      </c>
      <c r="O19" s="2">
        <f>G19/F19</f>
        <v>2.857142857142857</v>
      </c>
      <c r="P19" s="29">
        <f>100*4*M19/G19</f>
        <v>75</v>
      </c>
      <c r="Q19" s="9">
        <f>100*9*H19/G19</f>
        <v>11.25</v>
      </c>
      <c r="R19" s="16">
        <f>100*(I19*9)/G19</f>
        <v>5.625</v>
      </c>
      <c r="S19" s="16">
        <f>100*K19*4/G19</f>
        <v>20</v>
      </c>
      <c r="T19" s="42">
        <f>100*N19/F19</f>
        <v>0</v>
      </c>
      <c r="U19" s="44">
        <f>B19/F19</f>
        <v>1</v>
      </c>
      <c r="V19" s="9">
        <f>U19*M19</f>
        <v>15</v>
      </c>
      <c r="W19" s="9">
        <f>U19*H19</f>
        <v>1</v>
      </c>
      <c r="X19" s="9">
        <f>U19*K19</f>
        <v>4</v>
      </c>
      <c r="Y19" s="9">
        <f>N19*U19</f>
        <v>0</v>
      </c>
      <c r="Z19">
        <f>U19*J19</f>
        <v>25</v>
      </c>
      <c r="AA19" s="2">
        <f>I19*U19</f>
        <v>0.5</v>
      </c>
      <c r="AB19" s="9" t="s">
        <v>1345</v>
      </c>
      <c r="AC19" s="9"/>
      <c r="AD19" t="s">
        <v>845</v>
      </c>
    </row>
    <row r="20" spans="1:29" ht="12.75">
      <c r="A20" s="9">
        <f t="shared" si="18"/>
        <v>80</v>
      </c>
      <c r="B20">
        <v>28</v>
      </c>
      <c r="C20" s="2">
        <f t="shared" si="19"/>
        <v>0.987670938943135</v>
      </c>
      <c r="D20" s="2">
        <f t="shared" si="20"/>
        <v>0.061729433683945935</v>
      </c>
      <c r="E20" s="11" t="s">
        <v>1673</v>
      </c>
      <c r="F20" s="9">
        <v>28</v>
      </c>
      <c r="G20">
        <v>80</v>
      </c>
      <c r="H20">
        <v>0.5</v>
      </c>
      <c r="I20" s="10">
        <v>0</v>
      </c>
      <c r="J20">
        <v>25</v>
      </c>
      <c r="K20">
        <v>5</v>
      </c>
      <c r="L20">
        <v>5</v>
      </c>
      <c r="M20">
        <v>13</v>
      </c>
      <c r="N20">
        <v>0</v>
      </c>
      <c r="O20" s="2">
        <f t="shared" si="21"/>
        <v>2.857142857142857</v>
      </c>
      <c r="P20" s="29">
        <f t="shared" si="22"/>
        <v>65</v>
      </c>
      <c r="Q20" s="9">
        <f t="shared" si="23"/>
        <v>5.625</v>
      </c>
      <c r="R20" s="29">
        <f t="shared" si="24"/>
        <v>0</v>
      </c>
      <c r="S20" s="16">
        <f t="shared" si="16"/>
        <v>25</v>
      </c>
      <c r="T20" s="42">
        <f t="shared" si="25"/>
        <v>0</v>
      </c>
      <c r="U20" s="44">
        <f t="shared" si="17"/>
        <v>1</v>
      </c>
      <c r="V20" s="9">
        <f t="shared" si="26"/>
        <v>13</v>
      </c>
      <c r="W20" s="9">
        <f t="shared" si="27"/>
        <v>0.5</v>
      </c>
      <c r="X20" s="9">
        <f t="shared" si="28"/>
        <v>5</v>
      </c>
      <c r="Y20" s="9">
        <f t="shared" si="29"/>
        <v>0</v>
      </c>
      <c r="Z20">
        <f t="shared" si="30"/>
        <v>25</v>
      </c>
      <c r="AA20" s="2">
        <f t="shared" si="31"/>
        <v>0</v>
      </c>
      <c r="AB20" s="9" t="s">
        <v>1345</v>
      </c>
      <c r="AC20" s="9"/>
    </row>
    <row r="21" spans="1:29" ht="12.75">
      <c r="A21" s="9">
        <f t="shared" si="18"/>
        <v>150</v>
      </c>
      <c r="B21">
        <v>50</v>
      </c>
      <c r="C21" s="2">
        <f t="shared" si="19"/>
        <v>1.763698105255598</v>
      </c>
      <c r="D21" s="2">
        <f t="shared" si="20"/>
        <v>0.11023113157847488</v>
      </c>
      <c r="E21" s="11" t="s">
        <v>569</v>
      </c>
      <c r="F21" s="9">
        <v>50</v>
      </c>
      <c r="G21">
        <v>150</v>
      </c>
      <c r="H21">
        <v>0</v>
      </c>
      <c r="I21" s="10">
        <v>0</v>
      </c>
      <c r="J21">
        <v>0</v>
      </c>
      <c r="K21">
        <v>36</v>
      </c>
      <c r="L21">
        <v>22</v>
      </c>
      <c r="M21">
        <v>2</v>
      </c>
      <c r="N21">
        <v>1</v>
      </c>
      <c r="O21" s="2">
        <f t="shared" si="21"/>
        <v>3</v>
      </c>
      <c r="P21" s="42">
        <f t="shared" si="22"/>
        <v>5.333333333333333</v>
      </c>
      <c r="Q21" s="42">
        <f t="shared" si="23"/>
        <v>0</v>
      </c>
      <c r="R21" s="29">
        <f t="shared" si="24"/>
        <v>0</v>
      </c>
      <c r="S21" s="29">
        <f t="shared" si="16"/>
        <v>96</v>
      </c>
      <c r="T21" s="42">
        <f t="shared" si="25"/>
        <v>2</v>
      </c>
      <c r="U21" s="44">
        <f t="shared" si="17"/>
        <v>1</v>
      </c>
      <c r="V21" s="9">
        <f t="shared" si="26"/>
        <v>2</v>
      </c>
      <c r="W21" s="9">
        <f t="shared" si="27"/>
        <v>0</v>
      </c>
      <c r="X21" s="9">
        <f t="shared" si="28"/>
        <v>36</v>
      </c>
      <c r="Y21" s="9">
        <f t="shared" si="29"/>
        <v>1</v>
      </c>
      <c r="Z21">
        <f t="shared" si="30"/>
        <v>0</v>
      </c>
      <c r="AA21" s="2">
        <f t="shared" si="31"/>
        <v>0</v>
      </c>
      <c r="AB21" s="9" t="s">
        <v>1589</v>
      </c>
      <c r="AC21" s="9"/>
    </row>
    <row r="22" spans="1:29" ht="12.75">
      <c r="A22" s="9">
        <f>G22*U22</f>
        <v>190</v>
      </c>
      <c r="B22">
        <v>50</v>
      </c>
      <c r="C22" s="2">
        <f t="shared" si="19"/>
        <v>1.763698105255598</v>
      </c>
      <c r="D22" s="2">
        <f t="shared" si="20"/>
        <v>0.11023113157847488</v>
      </c>
      <c r="E22" s="11" t="s">
        <v>44</v>
      </c>
      <c r="F22" s="9">
        <v>50</v>
      </c>
      <c r="G22">
        <v>190</v>
      </c>
      <c r="H22">
        <v>4.5</v>
      </c>
      <c r="I22" s="10">
        <v>3</v>
      </c>
      <c r="J22">
        <v>15</v>
      </c>
      <c r="K22">
        <v>19</v>
      </c>
      <c r="L22">
        <v>2</v>
      </c>
      <c r="M22">
        <v>20</v>
      </c>
      <c r="N22">
        <v>0</v>
      </c>
      <c r="O22" s="2">
        <f>G22/F22</f>
        <v>3.8</v>
      </c>
      <c r="P22" s="29">
        <f>100*4*M22/G22</f>
        <v>42.10526315789474</v>
      </c>
      <c r="Q22" s="9">
        <f>100*9*H22/G22</f>
        <v>21.31578947368421</v>
      </c>
      <c r="R22" s="16">
        <f>100*(I22*9)/G22</f>
        <v>14.210526315789474</v>
      </c>
      <c r="S22" s="16">
        <f>100*K22*4/G22</f>
        <v>40</v>
      </c>
      <c r="T22" s="42">
        <f>100*N22/F22</f>
        <v>0</v>
      </c>
      <c r="U22" s="44">
        <f>B22/F22</f>
        <v>1</v>
      </c>
      <c r="V22" s="9">
        <f>U22*M22</f>
        <v>20</v>
      </c>
      <c r="W22" s="9">
        <f>U22*H22</f>
        <v>4.5</v>
      </c>
      <c r="X22" s="9">
        <f>U22*K22</f>
        <v>19</v>
      </c>
      <c r="Y22" s="9">
        <f>N22*U22</f>
        <v>0</v>
      </c>
      <c r="Z22">
        <f>U22*J22</f>
        <v>15</v>
      </c>
      <c r="AA22" s="2">
        <f>I22*U22</f>
        <v>3</v>
      </c>
      <c r="AB22" s="9" t="s">
        <v>1468</v>
      </c>
      <c r="AC22" s="9"/>
    </row>
    <row r="23" spans="1:29" ht="12.75">
      <c r="A23" s="9">
        <f>G23*U23</f>
        <v>290</v>
      </c>
      <c r="B23">
        <v>75</v>
      </c>
      <c r="C23" s="2">
        <f t="shared" si="19"/>
        <v>2.645547157883397</v>
      </c>
      <c r="D23" s="2">
        <f t="shared" si="20"/>
        <v>0.16534669736771232</v>
      </c>
      <c r="E23" s="11" t="s">
        <v>2142</v>
      </c>
      <c r="F23" s="9">
        <v>75</v>
      </c>
      <c r="G23">
        <v>290</v>
      </c>
      <c r="H23">
        <v>6</v>
      </c>
      <c r="I23" s="10">
        <v>3</v>
      </c>
      <c r="J23">
        <v>8</v>
      </c>
      <c r="K23">
        <v>39</v>
      </c>
      <c r="L23">
        <v>30</v>
      </c>
      <c r="M23">
        <v>20</v>
      </c>
      <c r="N23">
        <v>1</v>
      </c>
      <c r="O23" s="2">
        <f>G23/F23</f>
        <v>3.8666666666666667</v>
      </c>
      <c r="P23" s="16">
        <f>100*4*M23/G23</f>
        <v>27.586206896551722</v>
      </c>
      <c r="Q23" s="9">
        <f>100*9*H23/G23</f>
        <v>18.620689655172413</v>
      </c>
      <c r="R23" s="16">
        <f>100*(I23*9)/G23</f>
        <v>9.310344827586206</v>
      </c>
      <c r="S23" s="16">
        <f>100*K23*4/G23</f>
        <v>53.793103448275865</v>
      </c>
      <c r="T23" s="42">
        <f>100*N23/F23</f>
        <v>1.3333333333333333</v>
      </c>
      <c r="U23" s="44">
        <f t="shared" si="17"/>
        <v>1</v>
      </c>
      <c r="V23" s="9">
        <f>U23*M23</f>
        <v>20</v>
      </c>
      <c r="W23" s="9">
        <f>U23*H23</f>
        <v>6</v>
      </c>
      <c r="X23" s="9">
        <f>U23*K23</f>
        <v>39</v>
      </c>
      <c r="Y23" s="9">
        <f>N23*U23</f>
        <v>1</v>
      </c>
      <c r="Z23">
        <f>U23*J23</f>
        <v>8</v>
      </c>
      <c r="AA23" s="2">
        <f>I23*U23</f>
        <v>3</v>
      </c>
      <c r="AB23" s="9" t="s">
        <v>1468</v>
      </c>
      <c r="AC23" s="9"/>
    </row>
    <row r="24" spans="1:29" ht="12.75">
      <c r="A24" s="9">
        <f t="shared" si="18"/>
        <v>260</v>
      </c>
      <c r="B24">
        <v>75</v>
      </c>
      <c r="C24" s="2">
        <f t="shared" si="19"/>
        <v>2.645547157883397</v>
      </c>
      <c r="D24" s="2">
        <f t="shared" si="20"/>
        <v>0.16534669736771232</v>
      </c>
      <c r="E24" s="11" t="s">
        <v>1414</v>
      </c>
      <c r="F24" s="9">
        <v>75</v>
      </c>
      <c r="G24">
        <v>260</v>
      </c>
      <c r="H24">
        <v>5</v>
      </c>
      <c r="I24" s="10">
        <v>2.5</v>
      </c>
      <c r="J24">
        <v>10</v>
      </c>
      <c r="K24">
        <v>34</v>
      </c>
      <c r="L24">
        <v>29</v>
      </c>
      <c r="M24">
        <v>20</v>
      </c>
      <c r="N24">
        <v>1</v>
      </c>
      <c r="O24" s="2">
        <f t="shared" si="21"/>
        <v>3.466666666666667</v>
      </c>
      <c r="P24" s="29">
        <f t="shared" si="22"/>
        <v>30.76923076923077</v>
      </c>
      <c r="Q24" s="9">
        <f t="shared" si="23"/>
        <v>17.307692307692307</v>
      </c>
      <c r="R24" s="16">
        <f t="shared" si="24"/>
        <v>8.653846153846153</v>
      </c>
      <c r="S24" s="16">
        <f t="shared" si="16"/>
        <v>52.30769230769231</v>
      </c>
      <c r="T24" s="42">
        <f t="shared" si="25"/>
        <v>1.3333333333333333</v>
      </c>
      <c r="U24" s="44">
        <f aca="true" t="shared" si="32" ref="U24:U91">B24/F24</f>
        <v>1</v>
      </c>
      <c r="V24" s="9">
        <f t="shared" si="26"/>
        <v>20</v>
      </c>
      <c r="W24" s="9">
        <f t="shared" si="27"/>
        <v>5</v>
      </c>
      <c r="X24" s="9">
        <f t="shared" si="28"/>
        <v>34</v>
      </c>
      <c r="Y24" s="9">
        <f t="shared" si="29"/>
        <v>1</v>
      </c>
      <c r="Z24">
        <f t="shared" si="30"/>
        <v>10</v>
      </c>
      <c r="AA24" s="2">
        <f t="shared" si="31"/>
        <v>2.5</v>
      </c>
      <c r="AB24" s="9" t="s">
        <v>1823</v>
      </c>
      <c r="AC24" s="9"/>
    </row>
    <row r="25" spans="1:29" ht="12.75">
      <c r="A25" s="9">
        <f t="shared" si="18"/>
        <v>260</v>
      </c>
      <c r="B25">
        <v>78</v>
      </c>
      <c r="C25" s="2">
        <f t="shared" si="19"/>
        <v>2.751369044198733</v>
      </c>
      <c r="D25" s="2">
        <f t="shared" si="20"/>
        <v>0.17196056526242082</v>
      </c>
      <c r="E25" s="11" t="s">
        <v>1822</v>
      </c>
      <c r="F25" s="9">
        <v>78</v>
      </c>
      <c r="G25">
        <v>260</v>
      </c>
      <c r="H25">
        <v>6</v>
      </c>
      <c r="I25" s="10">
        <v>3.5</v>
      </c>
      <c r="J25">
        <v>5</v>
      </c>
      <c r="K25">
        <v>28</v>
      </c>
      <c r="L25">
        <v>1</v>
      </c>
      <c r="M25">
        <v>31</v>
      </c>
      <c r="N25">
        <v>5</v>
      </c>
      <c r="O25" s="2">
        <f t="shared" si="21"/>
        <v>3.3333333333333335</v>
      </c>
      <c r="P25" s="29">
        <f t="shared" si="22"/>
        <v>47.69230769230769</v>
      </c>
      <c r="Q25" s="9">
        <f t="shared" si="23"/>
        <v>20.76923076923077</v>
      </c>
      <c r="R25" s="16">
        <f t="shared" si="24"/>
        <v>12.115384615384615</v>
      </c>
      <c r="S25" s="16">
        <f t="shared" si="16"/>
        <v>43.07692307692308</v>
      </c>
      <c r="T25" s="9">
        <f t="shared" si="25"/>
        <v>6.410256410256411</v>
      </c>
      <c r="U25" s="44">
        <f t="shared" si="32"/>
        <v>1</v>
      </c>
      <c r="V25" s="9">
        <f t="shared" si="26"/>
        <v>31</v>
      </c>
      <c r="W25" s="9">
        <f t="shared" si="27"/>
        <v>6</v>
      </c>
      <c r="X25" s="9">
        <f t="shared" si="28"/>
        <v>28</v>
      </c>
      <c r="Y25" s="9">
        <f t="shared" si="29"/>
        <v>5</v>
      </c>
      <c r="Z25">
        <f t="shared" si="30"/>
        <v>5</v>
      </c>
      <c r="AA25" s="2">
        <f t="shared" si="31"/>
        <v>3.5</v>
      </c>
      <c r="AB25" s="9" t="s">
        <v>1823</v>
      </c>
      <c r="AC25" s="9"/>
    </row>
    <row r="26" spans="1:29" ht="12.75">
      <c r="A26" s="9">
        <f>G26*U26</f>
        <v>130</v>
      </c>
      <c r="B26">
        <v>37</v>
      </c>
      <c r="C26" s="2">
        <f t="shared" si="19"/>
        <v>1.3051365978891425</v>
      </c>
      <c r="D26" s="2">
        <f t="shared" si="20"/>
        <v>0.0815710373680714</v>
      </c>
      <c r="E26" s="11" t="s">
        <v>1273</v>
      </c>
      <c r="F26" s="9">
        <v>37</v>
      </c>
      <c r="G26">
        <v>130</v>
      </c>
      <c r="H26">
        <v>2</v>
      </c>
      <c r="I26" s="10">
        <v>0</v>
      </c>
      <c r="J26">
        <v>0</v>
      </c>
      <c r="K26">
        <v>27</v>
      </c>
      <c r="L26">
        <v>13</v>
      </c>
      <c r="M26">
        <v>2</v>
      </c>
      <c r="N26">
        <v>1</v>
      </c>
      <c r="O26" s="2">
        <f t="shared" si="21"/>
        <v>3.5135135135135136</v>
      </c>
      <c r="P26" s="16">
        <f t="shared" si="22"/>
        <v>6.153846153846154</v>
      </c>
      <c r="Q26" s="9">
        <f t="shared" si="23"/>
        <v>13.846153846153847</v>
      </c>
      <c r="R26" s="29">
        <f t="shared" si="24"/>
        <v>0</v>
      </c>
      <c r="S26" s="16">
        <f t="shared" si="16"/>
        <v>83.07692307692308</v>
      </c>
      <c r="T26" s="9">
        <f t="shared" si="25"/>
        <v>2.7027027027027026</v>
      </c>
      <c r="U26" s="44">
        <f t="shared" si="32"/>
        <v>1</v>
      </c>
      <c r="V26" s="9">
        <f>U26*M26</f>
        <v>2</v>
      </c>
      <c r="W26" s="9">
        <f>U26*H26</f>
        <v>2</v>
      </c>
      <c r="X26" s="9">
        <f>U26*K26</f>
        <v>27</v>
      </c>
      <c r="Y26" s="9">
        <f>N26*U26</f>
        <v>1</v>
      </c>
      <c r="Z26">
        <f>U26*J26</f>
        <v>0</v>
      </c>
      <c r="AA26" s="2">
        <f>I26*U26</f>
        <v>0</v>
      </c>
      <c r="AB26" s="9"/>
      <c r="AC26" s="9"/>
    </row>
    <row r="27" spans="1:29" ht="12.75">
      <c r="A27" s="9">
        <f t="shared" si="18"/>
        <v>240</v>
      </c>
      <c r="B27">
        <v>68</v>
      </c>
      <c r="C27" s="2">
        <f t="shared" si="19"/>
        <v>2.3986294231476135</v>
      </c>
      <c r="D27" s="2">
        <f t="shared" si="20"/>
        <v>0.14991433894672584</v>
      </c>
      <c r="E27" s="11" t="s">
        <v>530</v>
      </c>
      <c r="F27" s="9">
        <v>68</v>
      </c>
      <c r="G27">
        <v>240</v>
      </c>
      <c r="H27">
        <v>4</v>
      </c>
      <c r="I27" s="10">
        <v>2</v>
      </c>
      <c r="J27">
        <v>0</v>
      </c>
      <c r="K27">
        <v>43</v>
      </c>
      <c r="L27">
        <v>21</v>
      </c>
      <c r="M27">
        <v>10</v>
      </c>
      <c r="N27">
        <v>5</v>
      </c>
      <c r="O27" s="2">
        <f t="shared" si="21"/>
        <v>3.5294117647058822</v>
      </c>
      <c r="P27" s="9">
        <f t="shared" si="22"/>
        <v>16.666666666666668</v>
      </c>
      <c r="Q27" s="9">
        <f t="shared" si="23"/>
        <v>15</v>
      </c>
      <c r="R27" s="16">
        <f t="shared" si="24"/>
        <v>7.5</v>
      </c>
      <c r="S27" s="29">
        <f t="shared" si="16"/>
        <v>71.66666666666667</v>
      </c>
      <c r="T27" s="9">
        <f t="shared" si="25"/>
        <v>7.352941176470588</v>
      </c>
      <c r="U27" s="44">
        <f t="shared" si="32"/>
        <v>1</v>
      </c>
      <c r="V27" s="16">
        <f t="shared" si="26"/>
        <v>10</v>
      </c>
      <c r="W27" s="9">
        <f t="shared" si="27"/>
        <v>4</v>
      </c>
      <c r="X27" s="9">
        <f t="shared" si="28"/>
        <v>43</v>
      </c>
      <c r="Y27" s="16">
        <f t="shared" si="29"/>
        <v>5</v>
      </c>
      <c r="Z27">
        <f t="shared" si="30"/>
        <v>0</v>
      </c>
      <c r="AA27" s="2">
        <f t="shared" si="31"/>
        <v>2</v>
      </c>
      <c r="AB27" s="11" t="s">
        <v>532</v>
      </c>
      <c r="AC27" s="9"/>
    </row>
    <row r="28" spans="1:29" ht="12.75">
      <c r="A28" s="9">
        <f t="shared" si="18"/>
        <v>280</v>
      </c>
      <c r="B28">
        <v>78</v>
      </c>
      <c r="C28" s="2">
        <f t="shared" si="19"/>
        <v>2.751369044198733</v>
      </c>
      <c r="D28" s="2">
        <f t="shared" si="20"/>
        <v>0.17196056526242082</v>
      </c>
      <c r="E28" s="11" t="s">
        <v>1734</v>
      </c>
      <c r="F28" s="9">
        <v>78</v>
      </c>
      <c r="G28">
        <v>280</v>
      </c>
      <c r="H28">
        <v>5</v>
      </c>
      <c r="I28" s="10">
        <v>3</v>
      </c>
      <c r="J28">
        <v>0</v>
      </c>
      <c r="K28">
        <v>47</v>
      </c>
      <c r="L28">
        <v>33</v>
      </c>
      <c r="M28">
        <v>14</v>
      </c>
      <c r="N28">
        <v>7</v>
      </c>
      <c r="O28" s="2">
        <f t="shared" si="21"/>
        <v>3.58974358974359</v>
      </c>
      <c r="P28" s="9">
        <f t="shared" si="22"/>
        <v>20</v>
      </c>
      <c r="Q28" s="9">
        <f t="shared" si="23"/>
        <v>16.071428571428573</v>
      </c>
      <c r="R28" s="16">
        <f t="shared" si="24"/>
        <v>9.642857142857142</v>
      </c>
      <c r="S28" s="16">
        <f t="shared" si="16"/>
        <v>67.14285714285714</v>
      </c>
      <c r="T28" s="9">
        <f t="shared" si="25"/>
        <v>8.974358974358974</v>
      </c>
      <c r="U28" s="44">
        <f t="shared" si="32"/>
        <v>1</v>
      </c>
      <c r="V28" s="16">
        <f t="shared" si="26"/>
        <v>14</v>
      </c>
      <c r="W28" s="9">
        <f t="shared" si="27"/>
        <v>5</v>
      </c>
      <c r="X28" s="9">
        <f t="shared" si="28"/>
        <v>47</v>
      </c>
      <c r="Y28" s="16">
        <f t="shared" si="29"/>
        <v>7</v>
      </c>
      <c r="Z28">
        <f t="shared" si="30"/>
        <v>0</v>
      </c>
      <c r="AA28" s="2">
        <f t="shared" si="31"/>
        <v>3</v>
      </c>
      <c r="AB28" s="11" t="s">
        <v>1735</v>
      </c>
      <c r="AC28" s="9"/>
    </row>
    <row r="29" spans="1:29" ht="12.75">
      <c r="A29" s="9">
        <f t="shared" si="18"/>
        <v>280</v>
      </c>
      <c r="B29">
        <v>78</v>
      </c>
      <c r="C29" s="2">
        <f t="shared" si="19"/>
        <v>2.751369044198733</v>
      </c>
      <c r="D29" s="2">
        <f t="shared" si="20"/>
        <v>0.17196056526242082</v>
      </c>
      <c r="E29" s="11" t="s">
        <v>1933</v>
      </c>
      <c r="F29" s="9">
        <v>78</v>
      </c>
      <c r="G29">
        <v>280</v>
      </c>
      <c r="H29">
        <v>5</v>
      </c>
      <c r="I29" s="10">
        <v>4</v>
      </c>
      <c r="J29">
        <v>10</v>
      </c>
      <c r="K29">
        <v>29</v>
      </c>
      <c r="L29">
        <v>6</v>
      </c>
      <c r="M29">
        <v>30</v>
      </c>
      <c r="N29">
        <v>0</v>
      </c>
      <c r="O29" s="2">
        <f t="shared" si="21"/>
        <v>3.58974358974359</v>
      </c>
      <c r="P29" s="29">
        <f t="shared" si="22"/>
        <v>42.857142857142854</v>
      </c>
      <c r="Q29" s="9">
        <f t="shared" si="23"/>
        <v>16.071428571428573</v>
      </c>
      <c r="R29" s="16">
        <f t="shared" si="24"/>
        <v>12.857142857142858</v>
      </c>
      <c r="S29" s="16">
        <f t="shared" si="16"/>
        <v>41.42857142857143</v>
      </c>
      <c r="T29" s="42">
        <f t="shared" si="25"/>
        <v>0</v>
      </c>
      <c r="U29" s="44">
        <f t="shared" si="32"/>
        <v>1</v>
      </c>
      <c r="V29" s="16">
        <f t="shared" si="26"/>
        <v>30</v>
      </c>
      <c r="W29" s="9">
        <f t="shared" si="27"/>
        <v>5</v>
      </c>
      <c r="X29" s="9">
        <f t="shared" si="28"/>
        <v>29</v>
      </c>
      <c r="Y29" s="9">
        <f t="shared" si="29"/>
        <v>0</v>
      </c>
      <c r="Z29">
        <f t="shared" si="30"/>
        <v>10</v>
      </c>
      <c r="AA29" s="2">
        <f t="shared" si="31"/>
        <v>4</v>
      </c>
      <c r="AB29" s="9" t="s">
        <v>1416</v>
      </c>
      <c r="AC29" s="9"/>
    </row>
    <row r="30" spans="1:29" ht="12.75">
      <c r="A30" s="9">
        <f aca="true" t="shared" si="33" ref="A30:A37">G30*U30</f>
        <v>180</v>
      </c>
      <c r="B30">
        <v>48</v>
      </c>
      <c r="C30" s="2">
        <f t="shared" si="19"/>
        <v>1.6931501810453742</v>
      </c>
      <c r="D30" s="2">
        <f t="shared" si="20"/>
        <v>0.10582188631533589</v>
      </c>
      <c r="E30" s="11" t="s">
        <v>1415</v>
      </c>
      <c r="F30" s="9">
        <v>48</v>
      </c>
      <c r="G30">
        <v>180</v>
      </c>
      <c r="H30">
        <v>4</v>
      </c>
      <c r="I30" s="10">
        <v>2.5</v>
      </c>
      <c r="J30" s="6">
        <v>0</v>
      </c>
      <c r="K30" s="6">
        <v>28</v>
      </c>
      <c r="L30" s="6">
        <v>22</v>
      </c>
      <c r="M30" s="6">
        <v>10</v>
      </c>
      <c r="N30" s="6">
        <v>2</v>
      </c>
      <c r="O30" s="2">
        <f>G30/F30</f>
        <v>3.75</v>
      </c>
      <c r="P30" s="16">
        <f aca="true" t="shared" si="34" ref="P30:P37">100*4*M30/G30</f>
        <v>22.22222222222222</v>
      </c>
      <c r="Q30" s="9">
        <f aca="true" t="shared" si="35" ref="Q30:Q37">100*9*H30/G30</f>
        <v>20</v>
      </c>
      <c r="R30" s="16">
        <f aca="true" t="shared" si="36" ref="R30:R37">100*(I30*9)/G30</f>
        <v>12.5</v>
      </c>
      <c r="S30" s="16">
        <f aca="true" t="shared" si="37" ref="S30:S37">100*K30*4/G30</f>
        <v>62.22222222222222</v>
      </c>
      <c r="T30" s="9">
        <f aca="true" t="shared" si="38" ref="T30:T37">100*N30/F30</f>
        <v>4.166666666666667</v>
      </c>
      <c r="U30" s="44">
        <f>B30/F30</f>
        <v>1</v>
      </c>
      <c r="V30" s="16">
        <f aca="true" t="shared" si="39" ref="V30:V37">U30*M30</f>
        <v>10</v>
      </c>
      <c r="W30" s="9">
        <f aca="true" t="shared" si="40" ref="W30:W37">U30*H30</f>
        <v>4</v>
      </c>
      <c r="X30" s="9">
        <f aca="true" t="shared" si="41" ref="X30:X37">U30*K30</f>
        <v>28</v>
      </c>
      <c r="Y30" s="9">
        <f aca="true" t="shared" si="42" ref="Y30:Y37">N30*U30</f>
        <v>2</v>
      </c>
      <c r="Z30">
        <f aca="true" t="shared" si="43" ref="Z30:Z37">U30*J30</f>
        <v>0</v>
      </c>
      <c r="AA30" s="2">
        <f aca="true" t="shared" si="44" ref="AA30:AA37">I30*U30</f>
        <v>2.5</v>
      </c>
      <c r="AB30" s="9" t="s">
        <v>1584</v>
      </c>
      <c r="AC30" s="9"/>
    </row>
    <row r="31" spans="1:29" ht="12.75">
      <c r="A31" s="9">
        <f t="shared" si="33"/>
        <v>180</v>
      </c>
      <c r="B31">
        <v>48</v>
      </c>
      <c r="C31" s="2">
        <f t="shared" si="19"/>
        <v>1.6931501810453742</v>
      </c>
      <c r="D31" s="2">
        <f t="shared" si="20"/>
        <v>0.10582188631533589</v>
      </c>
      <c r="E31" s="11" t="s">
        <v>1417</v>
      </c>
      <c r="F31" s="9">
        <v>48</v>
      </c>
      <c r="G31">
        <v>180</v>
      </c>
      <c r="H31">
        <v>4</v>
      </c>
      <c r="I31" s="10">
        <v>3</v>
      </c>
      <c r="J31" s="6">
        <v>0</v>
      </c>
      <c r="K31" s="6">
        <v>29</v>
      </c>
      <c r="L31" s="6">
        <v>22</v>
      </c>
      <c r="M31" s="6">
        <v>10</v>
      </c>
      <c r="N31" s="6">
        <v>2</v>
      </c>
      <c r="O31" s="2">
        <f aca="true" t="shared" si="45" ref="O31:O47">G31/F31</f>
        <v>3.75</v>
      </c>
      <c r="P31" s="16">
        <f t="shared" si="34"/>
        <v>22.22222222222222</v>
      </c>
      <c r="Q31" s="9">
        <f t="shared" si="35"/>
        <v>20</v>
      </c>
      <c r="R31" s="42">
        <f t="shared" si="36"/>
        <v>15</v>
      </c>
      <c r="S31" s="16">
        <f t="shared" si="37"/>
        <v>64.44444444444444</v>
      </c>
      <c r="T31" s="9">
        <f t="shared" si="38"/>
        <v>4.166666666666667</v>
      </c>
      <c r="U31" s="44">
        <f t="shared" si="32"/>
        <v>1</v>
      </c>
      <c r="V31" s="16">
        <f t="shared" si="39"/>
        <v>10</v>
      </c>
      <c r="W31" s="9">
        <f t="shared" si="40"/>
        <v>4</v>
      </c>
      <c r="X31" s="9">
        <f t="shared" si="41"/>
        <v>29</v>
      </c>
      <c r="Y31" s="9">
        <f t="shared" si="42"/>
        <v>2</v>
      </c>
      <c r="Z31">
        <f t="shared" si="43"/>
        <v>0</v>
      </c>
      <c r="AA31" s="2">
        <f t="shared" si="44"/>
        <v>3</v>
      </c>
      <c r="AB31" s="9" t="s">
        <v>1583</v>
      </c>
      <c r="AC31" s="9"/>
    </row>
    <row r="32" spans="1:29" ht="12.75">
      <c r="A32" s="9">
        <f t="shared" si="33"/>
        <v>105</v>
      </c>
      <c r="B32">
        <v>50</v>
      </c>
      <c r="C32" s="2">
        <f t="shared" si="19"/>
        <v>1.763698105255598</v>
      </c>
      <c r="D32" s="2">
        <f t="shared" si="20"/>
        <v>0.11023113157847488</v>
      </c>
      <c r="E32" s="11" t="s">
        <v>1459</v>
      </c>
      <c r="F32" s="9">
        <v>50</v>
      </c>
      <c r="G32">
        <v>105</v>
      </c>
      <c r="H32">
        <v>4.5</v>
      </c>
      <c r="I32" s="10">
        <v>2.5</v>
      </c>
      <c r="J32">
        <v>0</v>
      </c>
      <c r="K32">
        <v>25</v>
      </c>
      <c r="L32">
        <v>4</v>
      </c>
      <c r="M32">
        <v>15</v>
      </c>
      <c r="N32">
        <v>1</v>
      </c>
      <c r="O32" s="2">
        <f t="shared" si="45"/>
        <v>2.1</v>
      </c>
      <c r="P32" s="29">
        <f t="shared" si="34"/>
        <v>57.142857142857146</v>
      </c>
      <c r="Q32" s="9">
        <f t="shared" si="35"/>
        <v>38.57142857142857</v>
      </c>
      <c r="R32" s="42">
        <f t="shared" si="36"/>
        <v>21.428571428571427</v>
      </c>
      <c r="S32" s="29">
        <f t="shared" si="37"/>
        <v>95.23809523809524</v>
      </c>
      <c r="T32" s="42">
        <f t="shared" si="38"/>
        <v>2</v>
      </c>
      <c r="U32" s="44">
        <f t="shared" si="32"/>
        <v>1</v>
      </c>
      <c r="V32" s="9">
        <f t="shared" si="39"/>
        <v>15</v>
      </c>
      <c r="W32" s="9">
        <f t="shared" si="40"/>
        <v>4.5</v>
      </c>
      <c r="X32" s="9">
        <f t="shared" si="41"/>
        <v>25</v>
      </c>
      <c r="Y32" s="9">
        <f t="shared" si="42"/>
        <v>1</v>
      </c>
      <c r="Z32">
        <f t="shared" si="43"/>
        <v>0</v>
      </c>
      <c r="AA32" s="2">
        <f t="shared" si="44"/>
        <v>2.5</v>
      </c>
      <c r="AB32" s="9" t="s">
        <v>1582</v>
      </c>
      <c r="AC32" s="9"/>
    </row>
    <row r="33" spans="1:29" ht="12.75">
      <c r="A33" s="9">
        <f t="shared" si="33"/>
        <v>180</v>
      </c>
      <c r="B33">
        <v>48</v>
      </c>
      <c r="C33" s="2">
        <f t="shared" si="19"/>
        <v>1.6931501810453742</v>
      </c>
      <c r="D33" s="2">
        <f t="shared" si="20"/>
        <v>0.10582188631533589</v>
      </c>
      <c r="E33" s="11" t="s">
        <v>724</v>
      </c>
      <c r="F33" s="9">
        <v>48</v>
      </c>
      <c r="G33">
        <v>180</v>
      </c>
      <c r="H33">
        <v>4</v>
      </c>
      <c r="I33" s="10">
        <v>3</v>
      </c>
      <c r="J33" s="6">
        <v>0</v>
      </c>
      <c r="K33" s="6">
        <v>26</v>
      </c>
      <c r="L33" s="6">
        <v>14</v>
      </c>
      <c r="M33" s="6">
        <v>10</v>
      </c>
      <c r="N33" s="6">
        <v>2</v>
      </c>
      <c r="O33" s="2">
        <f t="shared" si="45"/>
        <v>3.75</v>
      </c>
      <c r="P33" s="16">
        <f t="shared" si="34"/>
        <v>22.22222222222222</v>
      </c>
      <c r="Q33" s="9">
        <f t="shared" si="35"/>
        <v>20</v>
      </c>
      <c r="R33" s="42">
        <f t="shared" si="36"/>
        <v>15</v>
      </c>
      <c r="S33" s="16">
        <f t="shared" si="37"/>
        <v>57.77777777777778</v>
      </c>
      <c r="T33" s="9">
        <f t="shared" si="38"/>
        <v>4.166666666666667</v>
      </c>
      <c r="U33" s="44">
        <f t="shared" si="32"/>
        <v>1</v>
      </c>
      <c r="V33" s="9">
        <f t="shared" si="39"/>
        <v>10</v>
      </c>
      <c r="W33" s="9">
        <f t="shared" si="40"/>
        <v>4</v>
      </c>
      <c r="X33" s="9">
        <f t="shared" si="41"/>
        <v>26</v>
      </c>
      <c r="Y33" s="9">
        <f t="shared" si="42"/>
        <v>2</v>
      </c>
      <c r="Z33">
        <f t="shared" si="43"/>
        <v>0</v>
      </c>
      <c r="AA33" s="2">
        <f t="shared" si="44"/>
        <v>3</v>
      </c>
      <c r="AB33" s="9" t="s">
        <v>1574</v>
      </c>
      <c r="AC33" s="9"/>
    </row>
    <row r="34" spans="1:29" ht="12.75">
      <c r="A34" s="9">
        <f t="shared" si="33"/>
        <v>240</v>
      </c>
      <c r="B34">
        <v>65</v>
      </c>
      <c r="C34" s="2">
        <f t="shared" si="19"/>
        <v>2.2928075368322776</v>
      </c>
      <c r="D34" s="2">
        <f t="shared" si="20"/>
        <v>0.14330047105201735</v>
      </c>
      <c r="E34" s="11" t="s">
        <v>1585</v>
      </c>
      <c r="F34" s="9">
        <v>65</v>
      </c>
      <c r="G34">
        <v>240</v>
      </c>
      <c r="H34">
        <v>4</v>
      </c>
      <c r="I34" s="10">
        <v>0.5</v>
      </c>
      <c r="J34" s="6">
        <v>0</v>
      </c>
      <c r="K34" s="6">
        <v>45</v>
      </c>
      <c r="L34" s="6">
        <v>18</v>
      </c>
      <c r="M34" s="6">
        <v>7</v>
      </c>
      <c r="N34" s="6">
        <v>4</v>
      </c>
      <c r="O34" s="2">
        <f t="shared" si="45"/>
        <v>3.6923076923076925</v>
      </c>
      <c r="P34" s="16">
        <f t="shared" si="34"/>
        <v>11.666666666666666</v>
      </c>
      <c r="Q34" s="9">
        <f t="shared" si="35"/>
        <v>15</v>
      </c>
      <c r="R34" s="29">
        <f t="shared" si="36"/>
        <v>1.875</v>
      </c>
      <c r="S34" s="16">
        <f t="shared" si="37"/>
        <v>75</v>
      </c>
      <c r="T34" s="9">
        <f t="shared" si="38"/>
        <v>6.153846153846154</v>
      </c>
      <c r="U34" s="44">
        <f t="shared" si="32"/>
        <v>1</v>
      </c>
      <c r="V34" s="9">
        <f t="shared" si="39"/>
        <v>7</v>
      </c>
      <c r="W34" s="9">
        <f t="shared" si="40"/>
        <v>4</v>
      </c>
      <c r="X34" s="9">
        <f t="shared" si="41"/>
        <v>45</v>
      </c>
      <c r="Y34" s="9">
        <f t="shared" si="42"/>
        <v>4</v>
      </c>
      <c r="Z34">
        <f t="shared" si="43"/>
        <v>0</v>
      </c>
      <c r="AA34" s="2">
        <f t="shared" si="44"/>
        <v>0.5</v>
      </c>
      <c r="AB34" s="9" t="s">
        <v>1588</v>
      </c>
      <c r="AC34" s="9"/>
    </row>
    <row r="35" spans="1:29" ht="12.75">
      <c r="A35" s="9">
        <f>G35*U35</f>
        <v>210</v>
      </c>
      <c r="B35">
        <v>50</v>
      </c>
      <c r="C35" s="2">
        <f t="shared" si="19"/>
        <v>1.763698105255598</v>
      </c>
      <c r="D35" s="2">
        <f t="shared" si="20"/>
        <v>0.11023113157847488</v>
      </c>
      <c r="E35" s="11" t="s">
        <v>517</v>
      </c>
      <c r="F35" s="9">
        <v>50</v>
      </c>
      <c r="G35">
        <v>210</v>
      </c>
      <c r="H35">
        <v>7</v>
      </c>
      <c r="I35" s="10">
        <v>2.5</v>
      </c>
      <c r="J35" s="6">
        <v>0</v>
      </c>
      <c r="K35" s="6">
        <v>23</v>
      </c>
      <c r="L35" s="6">
        <v>16</v>
      </c>
      <c r="M35" s="6">
        <v>15</v>
      </c>
      <c r="N35" s="6">
        <v>2</v>
      </c>
      <c r="O35" s="2">
        <f>G35/F35</f>
        <v>4.2</v>
      </c>
      <c r="P35" s="16">
        <f>100*4*M35/G35</f>
        <v>28.571428571428573</v>
      </c>
      <c r="Q35" s="9">
        <f>100*9*H35/G35</f>
        <v>30</v>
      </c>
      <c r="R35" s="16">
        <f>100*(I35*9)/G35</f>
        <v>10.714285714285714</v>
      </c>
      <c r="S35" s="16">
        <f>100*K35*4/G35</f>
        <v>43.80952380952381</v>
      </c>
      <c r="T35" s="16">
        <f>100*N35/F35</f>
        <v>4</v>
      </c>
      <c r="U35" s="44">
        <f>B35/F35</f>
        <v>1</v>
      </c>
      <c r="V35" s="9">
        <f>U35*M35</f>
        <v>15</v>
      </c>
      <c r="W35" s="9">
        <f>U35*H35</f>
        <v>7</v>
      </c>
      <c r="X35" s="9">
        <f>U35*K35</f>
        <v>23</v>
      </c>
      <c r="Y35" s="9">
        <f>N35*U35</f>
        <v>2</v>
      </c>
      <c r="Z35">
        <f>U35*J35</f>
        <v>0</v>
      </c>
      <c r="AA35" s="2">
        <f>I35*U35</f>
        <v>2.5</v>
      </c>
      <c r="AB35" s="9" t="s">
        <v>1468</v>
      </c>
      <c r="AC35" s="9"/>
    </row>
    <row r="36" spans="1:29" ht="12.75">
      <c r="A36" s="9">
        <f t="shared" si="33"/>
        <v>190</v>
      </c>
      <c r="B36">
        <v>50</v>
      </c>
      <c r="C36" s="2">
        <f t="shared" si="19"/>
        <v>1.763698105255598</v>
      </c>
      <c r="D36" s="2">
        <f t="shared" si="20"/>
        <v>0.11023113157847488</v>
      </c>
      <c r="E36" s="11" t="s">
        <v>1467</v>
      </c>
      <c r="F36" s="9">
        <v>50</v>
      </c>
      <c r="G36">
        <v>190</v>
      </c>
      <c r="H36">
        <v>6</v>
      </c>
      <c r="I36" s="10">
        <v>3</v>
      </c>
      <c r="J36" s="6">
        <v>0</v>
      </c>
      <c r="K36" s="6">
        <v>22</v>
      </c>
      <c r="L36" s="6">
        <v>17</v>
      </c>
      <c r="M36" s="6">
        <v>14</v>
      </c>
      <c r="N36" s="6">
        <v>0</v>
      </c>
      <c r="O36" s="2">
        <f t="shared" si="45"/>
        <v>3.8</v>
      </c>
      <c r="P36" s="16">
        <f t="shared" si="34"/>
        <v>29.473684210526315</v>
      </c>
      <c r="Q36" s="9">
        <f t="shared" si="35"/>
        <v>28.42105263157895</v>
      </c>
      <c r="R36" s="16">
        <f t="shared" si="36"/>
        <v>14.210526315789474</v>
      </c>
      <c r="S36" s="16">
        <f t="shared" si="37"/>
        <v>46.31578947368421</v>
      </c>
      <c r="T36" s="42">
        <f t="shared" si="38"/>
        <v>0</v>
      </c>
      <c r="U36" s="44">
        <f t="shared" si="32"/>
        <v>1</v>
      </c>
      <c r="V36" s="9">
        <f t="shared" si="39"/>
        <v>14</v>
      </c>
      <c r="W36" s="9">
        <f t="shared" si="40"/>
        <v>6</v>
      </c>
      <c r="X36" s="9">
        <f t="shared" si="41"/>
        <v>22</v>
      </c>
      <c r="Y36" s="9">
        <f t="shared" si="42"/>
        <v>0</v>
      </c>
      <c r="Z36">
        <f t="shared" si="43"/>
        <v>0</v>
      </c>
      <c r="AA36" s="2">
        <f t="shared" si="44"/>
        <v>3</v>
      </c>
      <c r="AB36" s="9" t="s">
        <v>1468</v>
      </c>
      <c r="AC36" s="9"/>
    </row>
    <row r="37" spans="1:29" ht="12.75">
      <c r="A37" s="9">
        <f t="shared" si="33"/>
        <v>214</v>
      </c>
      <c r="B37">
        <v>58</v>
      </c>
      <c r="C37" s="2">
        <f aca="true" t="shared" si="46" ref="C37:C58">B37/28.349523</f>
        <v>2.0458898020964935</v>
      </c>
      <c r="D37" s="2">
        <f aca="true" t="shared" si="47" ref="D37:D58">C37/16</f>
        <v>0.12786811263103084</v>
      </c>
      <c r="E37" s="11" t="s">
        <v>1935</v>
      </c>
      <c r="F37" s="9">
        <v>58</v>
      </c>
      <c r="G37">
        <v>214</v>
      </c>
      <c r="H37">
        <v>0</v>
      </c>
      <c r="I37" s="10">
        <v>0</v>
      </c>
      <c r="J37">
        <v>0</v>
      </c>
      <c r="K37">
        <v>53</v>
      </c>
      <c r="L37">
        <v>6</v>
      </c>
      <c r="M37">
        <v>6</v>
      </c>
      <c r="N37">
        <v>6</v>
      </c>
      <c r="O37" s="2">
        <f>G37/F37</f>
        <v>3.689655172413793</v>
      </c>
      <c r="P37" s="9">
        <f t="shared" si="34"/>
        <v>11.214953271028037</v>
      </c>
      <c r="Q37" s="42">
        <f t="shared" si="35"/>
        <v>0</v>
      </c>
      <c r="R37" s="29">
        <f t="shared" si="36"/>
        <v>0</v>
      </c>
      <c r="S37" s="29">
        <f t="shared" si="37"/>
        <v>99.06542056074767</v>
      </c>
      <c r="T37" s="29">
        <f t="shared" si="38"/>
        <v>10.344827586206897</v>
      </c>
      <c r="U37" s="44">
        <f>B37/F37</f>
        <v>1</v>
      </c>
      <c r="V37" s="9">
        <f t="shared" si="39"/>
        <v>6</v>
      </c>
      <c r="W37" s="9">
        <f t="shared" si="40"/>
        <v>0</v>
      </c>
      <c r="X37" s="9">
        <f t="shared" si="41"/>
        <v>53</v>
      </c>
      <c r="Y37" s="9">
        <f t="shared" si="42"/>
        <v>6</v>
      </c>
      <c r="Z37">
        <f t="shared" si="43"/>
        <v>0</v>
      </c>
      <c r="AA37" s="2">
        <f t="shared" si="44"/>
        <v>0</v>
      </c>
      <c r="AB37" s="9" t="s">
        <v>1586</v>
      </c>
      <c r="AC37" s="9"/>
    </row>
    <row r="38" spans="1:29" ht="12.75">
      <c r="A38" s="9">
        <f>G38*U38</f>
        <v>80</v>
      </c>
      <c r="B38" s="9">
        <v>31</v>
      </c>
      <c r="C38" s="2">
        <f t="shared" si="46"/>
        <v>1.0934928252584708</v>
      </c>
      <c r="D38" s="2">
        <f t="shared" si="47"/>
        <v>0.06834330157865443</v>
      </c>
      <c r="E38" s="11" t="s">
        <v>1325</v>
      </c>
      <c r="F38" s="9">
        <v>31</v>
      </c>
      <c r="G38">
        <v>80</v>
      </c>
      <c r="H38">
        <v>1</v>
      </c>
      <c r="I38" s="10">
        <v>0</v>
      </c>
      <c r="J38">
        <v>0</v>
      </c>
      <c r="K38">
        <v>23</v>
      </c>
      <c r="L38">
        <v>6</v>
      </c>
      <c r="M38">
        <v>4</v>
      </c>
      <c r="N38" s="109">
        <v>10</v>
      </c>
      <c r="O38" s="2">
        <f t="shared" si="45"/>
        <v>2.5806451612903225</v>
      </c>
      <c r="P38" s="9">
        <f>100*4*M38/G38</f>
        <v>20</v>
      </c>
      <c r="Q38" s="9">
        <f>100*9*H38/G38</f>
        <v>11.25</v>
      </c>
      <c r="R38" s="29">
        <f>100*(I38*9)/G38</f>
        <v>0</v>
      </c>
      <c r="S38" s="46">
        <f aca="true" t="shared" si="48" ref="S38:S60">100*K38*4/G38</f>
        <v>115</v>
      </c>
      <c r="T38" s="29">
        <f>100*N38/F38</f>
        <v>32.25806451612903</v>
      </c>
      <c r="U38" s="44">
        <f t="shared" si="32"/>
        <v>1</v>
      </c>
      <c r="V38" s="9">
        <f>U38*M38</f>
        <v>4</v>
      </c>
      <c r="W38" s="9">
        <f>U38*H38</f>
        <v>1</v>
      </c>
      <c r="X38" s="9">
        <f>U38*K38</f>
        <v>23</v>
      </c>
      <c r="Y38" s="9">
        <f>N38*U38</f>
        <v>10</v>
      </c>
      <c r="Z38">
        <f>U38*J38</f>
        <v>0</v>
      </c>
      <c r="AA38" s="2">
        <f>I38*U38</f>
        <v>0</v>
      </c>
      <c r="AB38" s="9" t="s">
        <v>1586</v>
      </c>
      <c r="AC38" s="9"/>
    </row>
    <row r="39" spans="1:29" ht="12.75">
      <c r="A39" s="9">
        <f>G39*U39</f>
        <v>240</v>
      </c>
      <c r="B39" s="9">
        <v>61.5</v>
      </c>
      <c r="C39" s="2">
        <f t="shared" si="46"/>
        <v>2.1693486694643855</v>
      </c>
      <c r="D39" s="2">
        <f t="shared" si="47"/>
        <v>0.1355842918415241</v>
      </c>
      <c r="E39" s="11" t="s">
        <v>1931</v>
      </c>
      <c r="F39" s="9">
        <v>61.5</v>
      </c>
      <c r="G39">
        <v>240</v>
      </c>
      <c r="H39">
        <v>6</v>
      </c>
      <c r="I39" s="10">
        <v>2.5</v>
      </c>
      <c r="J39">
        <v>0</v>
      </c>
      <c r="K39">
        <v>32</v>
      </c>
      <c r="L39">
        <v>24</v>
      </c>
      <c r="M39">
        <v>14</v>
      </c>
      <c r="N39">
        <v>1</v>
      </c>
      <c r="O39" s="2">
        <f t="shared" si="45"/>
        <v>3.902439024390244</v>
      </c>
      <c r="P39" s="9">
        <f>100*4*M39/G39</f>
        <v>23.333333333333332</v>
      </c>
      <c r="Q39" s="9">
        <f>100*9*H39/G39</f>
        <v>22.5</v>
      </c>
      <c r="R39" s="16">
        <f>100*(I39*9)/G39</f>
        <v>9.375</v>
      </c>
      <c r="S39" s="16">
        <f t="shared" si="48"/>
        <v>53.333333333333336</v>
      </c>
      <c r="T39" s="42">
        <f>100*N39/F39</f>
        <v>1.6260162601626016</v>
      </c>
      <c r="U39" s="44">
        <f t="shared" si="32"/>
        <v>1</v>
      </c>
      <c r="V39" s="9">
        <f>U39*M39</f>
        <v>14</v>
      </c>
      <c r="W39" s="9">
        <f>U39*H39</f>
        <v>6</v>
      </c>
      <c r="X39" s="9">
        <f>U39*K39</f>
        <v>32</v>
      </c>
      <c r="Y39" s="9">
        <f>N39*U39</f>
        <v>1</v>
      </c>
      <c r="Z39">
        <f>U39*J39</f>
        <v>0</v>
      </c>
      <c r="AA39" s="2">
        <f>I39*U39</f>
        <v>2.5</v>
      </c>
      <c r="AB39" s="9" t="s">
        <v>533</v>
      </c>
      <c r="AC39" s="9"/>
    </row>
    <row r="40" spans="1:29" ht="12.75">
      <c r="A40" s="9">
        <f aca="true" t="shared" si="49" ref="A40:A47">G40*U40</f>
        <v>220</v>
      </c>
      <c r="B40">
        <v>62</v>
      </c>
      <c r="C40" s="2">
        <f t="shared" si="46"/>
        <v>2.1869856505169416</v>
      </c>
      <c r="D40" s="2">
        <f t="shared" si="47"/>
        <v>0.13668660315730885</v>
      </c>
      <c r="E40" s="11" t="s">
        <v>1763</v>
      </c>
      <c r="F40">
        <v>62</v>
      </c>
      <c r="G40">
        <v>220</v>
      </c>
      <c r="H40">
        <v>4.5</v>
      </c>
      <c r="I40" s="10">
        <v>0.5</v>
      </c>
      <c r="J40">
        <v>0</v>
      </c>
      <c r="K40">
        <v>41</v>
      </c>
      <c r="L40">
        <v>20</v>
      </c>
      <c r="M40">
        <v>5</v>
      </c>
      <c r="N40">
        <v>5</v>
      </c>
      <c r="O40" s="2">
        <f t="shared" si="45"/>
        <v>3.5483870967741935</v>
      </c>
      <c r="P40" s="16">
        <f aca="true" t="shared" si="50" ref="P40:P47">100*4*M40/G40</f>
        <v>9.090909090909092</v>
      </c>
      <c r="Q40" s="9">
        <f aca="true" t="shared" si="51" ref="Q40:Q47">100*9*H40/G40</f>
        <v>18.40909090909091</v>
      </c>
      <c r="R40" s="29">
        <f aca="true" t="shared" si="52" ref="R40:R47">100*(I40*9)/G40</f>
        <v>2.0454545454545454</v>
      </c>
      <c r="S40" s="16">
        <f t="shared" si="48"/>
        <v>74.54545454545455</v>
      </c>
      <c r="T40" s="16">
        <f aca="true" t="shared" si="53" ref="T40:T47">100*N40/F40</f>
        <v>8.064516129032258</v>
      </c>
      <c r="U40" s="44">
        <f aca="true" t="shared" si="54" ref="U40:U47">B40/F40</f>
        <v>1</v>
      </c>
      <c r="V40" s="16">
        <f aca="true" t="shared" si="55" ref="V40:V47">U40*M40</f>
        <v>5</v>
      </c>
      <c r="W40" s="9">
        <f aca="true" t="shared" si="56" ref="W40:W47">U40*H40</f>
        <v>4.5</v>
      </c>
      <c r="X40" s="9">
        <f aca="true" t="shared" si="57" ref="X40:X47">U40*K40</f>
        <v>41</v>
      </c>
      <c r="Y40" s="16">
        <f aca="true" t="shared" si="58" ref="Y40:Y47">N40*U40</f>
        <v>5</v>
      </c>
      <c r="Z40">
        <f aca="true" t="shared" si="59" ref="Z40:Z47">U40*J40</f>
        <v>0</v>
      </c>
      <c r="AA40" s="2">
        <f aca="true" t="shared" si="60" ref="AA40:AA47">I40*U40</f>
        <v>0.5</v>
      </c>
      <c r="AB40" s="11"/>
      <c r="AC40" s="9"/>
    </row>
    <row r="41" spans="1:29" ht="12.75">
      <c r="A41" s="9">
        <f>G41*U41</f>
        <v>110</v>
      </c>
      <c r="B41">
        <v>28</v>
      </c>
      <c r="C41" s="2">
        <f t="shared" si="46"/>
        <v>0.987670938943135</v>
      </c>
      <c r="D41" s="2">
        <f t="shared" si="47"/>
        <v>0.061729433683945935</v>
      </c>
      <c r="E41" s="11" t="s">
        <v>1713</v>
      </c>
      <c r="F41">
        <v>28</v>
      </c>
      <c r="G41">
        <v>110</v>
      </c>
      <c r="H41">
        <v>3</v>
      </c>
      <c r="I41" s="10">
        <v>2.5</v>
      </c>
      <c r="J41">
        <v>0</v>
      </c>
      <c r="K41">
        <v>16</v>
      </c>
      <c r="L41">
        <v>10</v>
      </c>
      <c r="M41">
        <v>5</v>
      </c>
      <c r="N41">
        <v>1</v>
      </c>
      <c r="O41" s="2">
        <f>G41/F41</f>
        <v>3.9285714285714284</v>
      </c>
      <c r="P41" s="16">
        <f>100*4*M41/G41</f>
        <v>18.181818181818183</v>
      </c>
      <c r="Q41" s="9">
        <f>100*9*H41/G41</f>
        <v>24.545454545454547</v>
      </c>
      <c r="R41" s="42">
        <f>100*(I41*9)/G41</f>
        <v>20.454545454545453</v>
      </c>
      <c r="S41" s="16">
        <f>100*K41*4/G41</f>
        <v>58.18181818181818</v>
      </c>
      <c r="T41" s="16">
        <f>100*N41/F41</f>
        <v>3.5714285714285716</v>
      </c>
      <c r="U41" s="44">
        <f>B41/F41</f>
        <v>1</v>
      </c>
      <c r="V41" s="16">
        <f>U41*M41</f>
        <v>5</v>
      </c>
      <c r="W41" s="9">
        <f>U41*H41</f>
        <v>3</v>
      </c>
      <c r="X41" s="9">
        <f>U41*K41</f>
        <v>16</v>
      </c>
      <c r="Y41" s="16">
        <f>N41*U41</f>
        <v>1</v>
      </c>
      <c r="Z41">
        <f>U41*J41</f>
        <v>0</v>
      </c>
      <c r="AA41" s="2">
        <f>I41*U41</f>
        <v>2.5</v>
      </c>
      <c r="AB41" s="233" t="s">
        <v>533</v>
      </c>
      <c r="AC41" s="9"/>
    </row>
    <row r="42" spans="1:29" ht="12.75">
      <c r="A42" s="9">
        <f t="shared" si="49"/>
        <v>170</v>
      </c>
      <c r="B42">
        <v>45</v>
      </c>
      <c r="C42" s="2">
        <f t="shared" si="46"/>
        <v>1.5873282947300382</v>
      </c>
      <c r="D42" s="2">
        <f t="shared" si="47"/>
        <v>0.09920801842062739</v>
      </c>
      <c r="E42" s="11" t="s">
        <v>1762</v>
      </c>
      <c r="F42">
        <v>45</v>
      </c>
      <c r="G42">
        <v>170</v>
      </c>
      <c r="H42">
        <v>5</v>
      </c>
      <c r="I42" s="10">
        <v>3.5</v>
      </c>
      <c r="J42">
        <v>0</v>
      </c>
      <c r="K42">
        <v>22</v>
      </c>
      <c r="L42">
        <v>8</v>
      </c>
      <c r="M42">
        <v>11</v>
      </c>
      <c r="N42">
        <v>5</v>
      </c>
      <c r="O42" s="2">
        <f>G42/F42</f>
        <v>3.7777777777777777</v>
      </c>
      <c r="P42" s="16">
        <f t="shared" si="50"/>
        <v>25.88235294117647</v>
      </c>
      <c r="Q42" s="9">
        <f t="shared" si="51"/>
        <v>26.470588235294116</v>
      </c>
      <c r="R42" s="42">
        <f t="shared" si="52"/>
        <v>18.529411764705884</v>
      </c>
      <c r="S42" s="16">
        <f t="shared" si="48"/>
        <v>51.76470588235294</v>
      </c>
      <c r="T42" s="16">
        <f t="shared" si="53"/>
        <v>11.11111111111111</v>
      </c>
      <c r="U42" s="44">
        <f t="shared" si="54"/>
        <v>1</v>
      </c>
      <c r="V42" s="16">
        <f t="shared" si="55"/>
        <v>11</v>
      </c>
      <c r="W42" s="9">
        <f t="shared" si="56"/>
        <v>5</v>
      </c>
      <c r="X42" s="9">
        <f t="shared" si="57"/>
        <v>22</v>
      </c>
      <c r="Y42" s="16">
        <f t="shared" si="58"/>
        <v>5</v>
      </c>
      <c r="Z42">
        <f t="shared" si="59"/>
        <v>0</v>
      </c>
      <c r="AA42" s="2">
        <f t="shared" si="60"/>
        <v>3.5</v>
      </c>
      <c r="AB42" s="11"/>
      <c r="AC42" s="9"/>
    </row>
    <row r="43" spans="1:29" ht="12.75">
      <c r="A43" s="9">
        <f t="shared" si="49"/>
        <v>210</v>
      </c>
      <c r="B43">
        <v>53.2</v>
      </c>
      <c r="C43" s="2">
        <f t="shared" si="46"/>
        <v>1.8765747839919564</v>
      </c>
      <c r="D43" s="2">
        <f t="shared" si="47"/>
        <v>0.11728592399949728</v>
      </c>
      <c r="E43" s="11" t="s">
        <v>1629</v>
      </c>
      <c r="F43">
        <v>53.2</v>
      </c>
      <c r="G43">
        <v>210</v>
      </c>
      <c r="H43">
        <v>6</v>
      </c>
      <c r="I43" s="10">
        <v>1</v>
      </c>
      <c r="J43">
        <v>0</v>
      </c>
      <c r="K43">
        <v>29</v>
      </c>
      <c r="L43">
        <v>14</v>
      </c>
      <c r="M43">
        <v>8</v>
      </c>
      <c r="N43">
        <v>5</v>
      </c>
      <c r="O43" s="2">
        <f t="shared" si="45"/>
        <v>3.9473684210526314</v>
      </c>
      <c r="P43" s="16">
        <f t="shared" si="50"/>
        <v>15.238095238095237</v>
      </c>
      <c r="Q43" s="9">
        <f t="shared" si="51"/>
        <v>25.714285714285715</v>
      </c>
      <c r="R43" s="29">
        <f t="shared" si="52"/>
        <v>4.285714285714286</v>
      </c>
      <c r="S43" s="16">
        <f t="shared" si="48"/>
        <v>55.23809523809524</v>
      </c>
      <c r="T43" s="16">
        <f t="shared" si="53"/>
        <v>9.398496240601503</v>
      </c>
      <c r="U43" s="44">
        <f t="shared" si="54"/>
        <v>1</v>
      </c>
      <c r="V43" s="16">
        <f t="shared" si="55"/>
        <v>8</v>
      </c>
      <c r="W43" s="9">
        <f t="shared" si="56"/>
        <v>6</v>
      </c>
      <c r="X43" s="9">
        <f t="shared" si="57"/>
        <v>29</v>
      </c>
      <c r="Y43" s="16">
        <f t="shared" si="58"/>
        <v>5</v>
      </c>
      <c r="Z43">
        <f t="shared" si="59"/>
        <v>0</v>
      </c>
      <c r="AA43" s="2">
        <f t="shared" si="60"/>
        <v>1</v>
      </c>
      <c r="AB43" s="11"/>
      <c r="AC43" s="9"/>
    </row>
    <row r="44" spans="1:29" ht="12.75">
      <c r="A44" s="9">
        <f t="shared" si="49"/>
        <v>220</v>
      </c>
      <c r="B44">
        <v>56</v>
      </c>
      <c r="C44" s="2">
        <f t="shared" si="46"/>
        <v>1.97534187788627</v>
      </c>
      <c r="D44" s="2">
        <f t="shared" si="47"/>
        <v>0.12345886736789187</v>
      </c>
      <c r="E44" s="11" t="s">
        <v>606</v>
      </c>
      <c r="F44">
        <v>56</v>
      </c>
      <c r="G44">
        <v>220</v>
      </c>
      <c r="H44">
        <v>6</v>
      </c>
      <c r="I44" s="10">
        <v>4</v>
      </c>
      <c r="J44">
        <v>2.5</v>
      </c>
      <c r="K44">
        <v>34</v>
      </c>
      <c r="L44">
        <v>13</v>
      </c>
      <c r="M44">
        <v>8</v>
      </c>
      <c r="N44">
        <v>2</v>
      </c>
      <c r="O44" s="2">
        <f t="shared" si="45"/>
        <v>3.9285714285714284</v>
      </c>
      <c r="P44" s="16">
        <f t="shared" si="50"/>
        <v>14.545454545454545</v>
      </c>
      <c r="Q44" s="9">
        <f t="shared" si="51"/>
        <v>24.545454545454547</v>
      </c>
      <c r="R44" s="42">
        <f t="shared" si="52"/>
        <v>16.363636363636363</v>
      </c>
      <c r="S44" s="16">
        <f t="shared" si="48"/>
        <v>61.81818181818182</v>
      </c>
      <c r="T44" s="16">
        <f t="shared" si="53"/>
        <v>3.5714285714285716</v>
      </c>
      <c r="U44" s="44">
        <f t="shared" si="54"/>
        <v>1</v>
      </c>
      <c r="V44" s="16">
        <f t="shared" si="55"/>
        <v>8</v>
      </c>
      <c r="W44" s="9">
        <f t="shared" si="56"/>
        <v>6</v>
      </c>
      <c r="X44" s="9">
        <f t="shared" si="57"/>
        <v>34</v>
      </c>
      <c r="Y44" s="16">
        <f t="shared" si="58"/>
        <v>2</v>
      </c>
      <c r="Z44">
        <f t="shared" si="59"/>
        <v>2.5</v>
      </c>
      <c r="AA44" s="2">
        <f t="shared" si="60"/>
        <v>4</v>
      </c>
      <c r="AB44" s="11"/>
      <c r="AC44" s="9"/>
    </row>
    <row r="45" spans="1:29" ht="12.75">
      <c r="A45" s="9">
        <f t="shared" si="49"/>
        <v>210</v>
      </c>
      <c r="B45">
        <v>48</v>
      </c>
      <c r="C45" s="2">
        <f t="shared" si="46"/>
        <v>1.6931501810453742</v>
      </c>
      <c r="D45" s="2">
        <f t="shared" si="47"/>
        <v>0.10582188631533589</v>
      </c>
      <c r="E45" s="11" t="s">
        <v>1761</v>
      </c>
      <c r="F45">
        <v>48</v>
      </c>
      <c r="G45">
        <v>210</v>
      </c>
      <c r="H45">
        <v>9</v>
      </c>
      <c r="I45" s="10">
        <v>3</v>
      </c>
      <c r="J45">
        <v>17</v>
      </c>
      <c r="K45">
        <v>20</v>
      </c>
      <c r="L45">
        <v>1</v>
      </c>
      <c r="M45">
        <v>17</v>
      </c>
      <c r="N45">
        <v>6</v>
      </c>
      <c r="O45" s="2">
        <f>G45/F45</f>
        <v>4.375</v>
      </c>
      <c r="P45" s="29">
        <f t="shared" si="50"/>
        <v>32.38095238095238</v>
      </c>
      <c r="Q45" s="9">
        <f t="shared" si="51"/>
        <v>38.57142857142857</v>
      </c>
      <c r="R45" s="16">
        <f t="shared" si="52"/>
        <v>12.857142857142858</v>
      </c>
      <c r="S45" s="16">
        <f t="shared" si="48"/>
        <v>38.095238095238095</v>
      </c>
      <c r="T45" s="29">
        <f t="shared" si="53"/>
        <v>12.5</v>
      </c>
      <c r="U45" s="44">
        <f t="shared" si="54"/>
        <v>1</v>
      </c>
      <c r="V45" s="16">
        <f t="shared" si="55"/>
        <v>17</v>
      </c>
      <c r="W45" s="9">
        <f t="shared" si="56"/>
        <v>9</v>
      </c>
      <c r="X45" s="9">
        <f t="shared" si="57"/>
        <v>20</v>
      </c>
      <c r="Y45" s="16">
        <f t="shared" si="58"/>
        <v>6</v>
      </c>
      <c r="Z45">
        <f t="shared" si="59"/>
        <v>17</v>
      </c>
      <c r="AA45" s="2">
        <f t="shared" si="60"/>
        <v>3</v>
      </c>
      <c r="AB45" s="11" t="s">
        <v>607</v>
      </c>
      <c r="AC45" s="9"/>
    </row>
    <row r="46" spans="1:29" ht="12.75">
      <c r="A46" s="9">
        <f t="shared" si="49"/>
        <v>240</v>
      </c>
      <c r="B46">
        <v>60</v>
      </c>
      <c r="C46" s="2">
        <f t="shared" si="46"/>
        <v>2.116437726306718</v>
      </c>
      <c r="D46" s="2">
        <f t="shared" si="47"/>
        <v>0.13227735789416986</v>
      </c>
      <c r="E46" s="11" t="s">
        <v>1930</v>
      </c>
      <c r="F46" s="9">
        <v>60</v>
      </c>
      <c r="G46">
        <v>240</v>
      </c>
      <c r="H46">
        <v>11</v>
      </c>
      <c r="I46" s="10">
        <v>7</v>
      </c>
      <c r="J46">
        <v>0</v>
      </c>
      <c r="K46">
        <v>20</v>
      </c>
      <c r="L46">
        <v>0</v>
      </c>
      <c r="M46">
        <v>20</v>
      </c>
      <c r="N46">
        <v>9</v>
      </c>
      <c r="O46" s="2">
        <f t="shared" si="45"/>
        <v>4</v>
      </c>
      <c r="P46" s="29">
        <f t="shared" si="50"/>
        <v>33.333333333333336</v>
      </c>
      <c r="Q46" s="9">
        <f t="shared" si="51"/>
        <v>41.25</v>
      </c>
      <c r="R46" s="42">
        <f t="shared" si="52"/>
        <v>26.25</v>
      </c>
      <c r="S46" s="16">
        <f t="shared" si="48"/>
        <v>33.333333333333336</v>
      </c>
      <c r="T46" s="29">
        <f t="shared" si="53"/>
        <v>15</v>
      </c>
      <c r="U46" s="44">
        <f t="shared" si="54"/>
        <v>1</v>
      </c>
      <c r="V46" s="16">
        <f t="shared" si="55"/>
        <v>20</v>
      </c>
      <c r="W46" s="9">
        <f t="shared" si="56"/>
        <v>11</v>
      </c>
      <c r="X46" s="9">
        <f t="shared" si="57"/>
        <v>20</v>
      </c>
      <c r="Y46" s="16">
        <f t="shared" si="58"/>
        <v>9</v>
      </c>
      <c r="Z46">
        <f t="shared" si="59"/>
        <v>0</v>
      </c>
      <c r="AA46" s="2">
        <f t="shared" si="60"/>
        <v>7</v>
      </c>
      <c r="AB46" s="11" t="s">
        <v>1418</v>
      </c>
      <c r="AC46" s="9"/>
    </row>
    <row r="47" spans="1:29" ht="12.75">
      <c r="A47" s="9">
        <f t="shared" si="49"/>
        <v>210</v>
      </c>
      <c r="B47">
        <v>60</v>
      </c>
      <c r="C47" s="2">
        <f t="shared" si="46"/>
        <v>2.116437726306718</v>
      </c>
      <c r="D47" s="2">
        <f t="shared" si="47"/>
        <v>0.13227735789416986</v>
      </c>
      <c r="E47" s="11" t="s">
        <v>861</v>
      </c>
      <c r="F47" s="9">
        <v>60</v>
      </c>
      <c r="G47">
        <v>210</v>
      </c>
      <c r="H47">
        <v>6</v>
      </c>
      <c r="I47" s="10">
        <v>4</v>
      </c>
      <c r="J47">
        <v>4</v>
      </c>
      <c r="K47">
        <v>24</v>
      </c>
      <c r="L47">
        <v>1</v>
      </c>
      <c r="M47">
        <v>21</v>
      </c>
      <c r="N47">
        <v>1</v>
      </c>
      <c r="O47" s="2">
        <f t="shared" si="45"/>
        <v>3.5</v>
      </c>
      <c r="P47" s="29">
        <f t="shared" si="50"/>
        <v>40</v>
      </c>
      <c r="Q47" s="9">
        <f t="shared" si="51"/>
        <v>25.714285714285715</v>
      </c>
      <c r="R47" s="42">
        <f t="shared" si="52"/>
        <v>17.142857142857142</v>
      </c>
      <c r="S47" s="16">
        <f t="shared" si="48"/>
        <v>45.714285714285715</v>
      </c>
      <c r="T47" s="16">
        <f t="shared" si="53"/>
        <v>1.6666666666666667</v>
      </c>
      <c r="U47" s="44">
        <f t="shared" si="54"/>
        <v>1</v>
      </c>
      <c r="V47" s="16">
        <f t="shared" si="55"/>
        <v>21</v>
      </c>
      <c r="W47" s="9">
        <f t="shared" si="56"/>
        <v>6</v>
      </c>
      <c r="X47" s="9">
        <f t="shared" si="57"/>
        <v>24</v>
      </c>
      <c r="Y47" s="16">
        <f t="shared" si="58"/>
        <v>1</v>
      </c>
      <c r="Z47">
        <f t="shared" si="59"/>
        <v>4</v>
      </c>
      <c r="AA47" s="2">
        <f t="shared" si="60"/>
        <v>4</v>
      </c>
      <c r="AB47" s="11" t="s">
        <v>862</v>
      </c>
      <c r="AC47" s="9"/>
    </row>
    <row r="48" spans="1:29" ht="12.75">
      <c r="A48" s="9">
        <f aca="true" t="shared" si="61" ref="A48:A60">G48*U48</f>
        <v>200</v>
      </c>
      <c r="B48">
        <v>50</v>
      </c>
      <c r="C48" s="2">
        <f t="shared" si="46"/>
        <v>1.763698105255598</v>
      </c>
      <c r="D48" s="2">
        <f t="shared" si="47"/>
        <v>0.11023113157847488</v>
      </c>
      <c r="E48" s="11" t="s">
        <v>863</v>
      </c>
      <c r="F48" s="9">
        <v>50</v>
      </c>
      <c r="G48">
        <v>200</v>
      </c>
      <c r="H48">
        <v>7</v>
      </c>
      <c r="I48" s="10">
        <v>3</v>
      </c>
      <c r="J48">
        <v>15</v>
      </c>
      <c r="K48">
        <v>21</v>
      </c>
      <c r="L48">
        <v>18</v>
      </c>
      <c r="M48">
        <v>15</v>
      </c>
      <c r="N48">
        <v>2</v>
      </c>
      <c r="O48" s="2">
        <f aca="true" t="shared" si="62" ref="O48:O60">G48/F48</f>
        <v>4</v>
      </c>
      <c r="P48" s="29">
        <f aca="true" t="shared" si="63" ref="P48:P60">100*4*M48/G48</f>
        <v>30</v>
      </c>
      <c r="Q48" s="9">
        <f aca="true" t="shared" si="64" ref="Q48:Q60">100*9*H48/G48</f>
        <v>31.5</v>
      </c>
      <c r="R48" s="16">
        <f aca="true" t="shared" si="65" ref="R48:R60">100*(I48*9)/G48</f>
        <v>13.5</v>
      </c>
      <c r="S48" s="16">
        <f t="shared" si="48"/>
        <v>42</v>
      </c>
      <c r="T48" s="16">
        <f aca="true" t="shared" si="66" ref="T48:T60">100*N48/F48</f>
        <v>4</v>
      </c>
      <c r="U48" s="44">
        <f t="shared" si="32"/>
        <v>1</v>
      </c>
      <c r="V48" s="16">
        <f aca="true" t="shared" si="67" ref="V48:V60">U48*M48</f>
        <v>15</v>
      </c>
      <c r="W48" s="9">
        <f aca="true" t="shared" si="68" ref="W48:W60">U48*H48</f>
        <v>7</v>
      </c>
      <c r="X48" s="9">
        <f aca="true" t="shared" si="69" ref="X48:X60">U48*K48</f>
        <v>21</v>
      </c>
      <c r="Y48" s="16">
        <f aca="true" t="shared" si="70" ref="Y48:Y60">N48*U48</f>
        <v>2</v>
      </c>
      <c r="Z48">
        <f aca="true" t="shared" si="71" ref="Z48:Z60">U48*J48</f>
        <v>15</v>
      </c>
      <c r="AA48" s="2">
        <f aca="true" t="shared" si="72" ref="AA48:AA60">I48*U48</f>
        <v>3</v>
      </c>
      <c r="AB48" s="11" t="s">
        <v>864</v>
      </c>
      <c r="AC48" s="9"/>
    </row>
    <row r="49" spans="1:29" ht="12.75">
      <c r="A49" s="9">
        <f t="shared" si="61"/>
        <v>90</v>
      </c>
      <c r="B49" s="6">
        <v>25</v>
      </c>
      <c r="C49" s="2">
        <f t="shared" si="46"/>
        <v>0.881849052627799</v>
      </c>
      <c r="D49" s="2">
        <f t="shared" si="47"/>
        <v>0.05511556578923744</v>
      </c>
      <c r="E49" s="11" t="s">
        <v>316</v>
      </c>
      <c r="F49" s="9">
        <v>25</v>
      </c>
      <c r="G49">
        <v>90</v>
      </c>
      <c r="H49">
        <v>2</v>
      </c>
      <c r="I49" s="10">
        <v>1</v>
      </c>
      <c r="J49">
        <v>5</v>
      </c>
      <c r="K49">
        <v>19</v>
      </c>
      <c r="L49">
        <v>12</v>
      </c>
      <c r="M49">
        <v>1</v>
      </c>
      <c r="N49">
        <v>0</v>
      </c>
      <c r="O49" s="2">
        <f t="shared" si="62"/>
        <v>3.6</v>
      </c>
      <c r="P49" s="42">
        <f t="shared" si="63"/>
        <v>4.444444444444445</v>
      </c>
      <c r="Q49" s="9">
        <f t="shared" si="64"/>
        <v>20</v>
      </c>
      <c r="R49" s="16">
        <f t="shared" si="65"/>
        <v>10</v>
      </c>
      <c r="S49" s="29">
        <f t="shared" si="48"/>
        <v>84.44444444444444</v>
      </c>
      <c r="T49" s="42">
        <f t="shared" si="66"/>
        <v>0</v>
      </c>
      <c r="U49" s="44">
        <f t="shared" si="32"/>
        <v>1</v>
      </c>
      <c r="V49" s="9">
        <f t="shared" si="67"/>
        <v>1</v>
      </c>
      <c r="W49" s="9">
        <f t="shared" si="68"/>
        <v>2</v>
      </c>
      <c r="X49" s="9">
        <f t="shared" si="69"/>
        <v>19</v>
      </c>
      <c r="Y49" s="16">
        <f t="shared" si="70"/>
        <v>0</v>
      </c>
      <c r="Z49">
        <f t="shared" si="71"/>
        <v>5</v>
      </c>
      <c r="AA49" s="2">
        <f t="shared" si="72"/>
        <v>1</v>
      </c>
      <c r="AB49" s="9" t="s">
        <v>317</v>
      </c>
      <c r="AC49" s="9"/>
    </row>
    <row r="50" spans="1:29" ht="12.75">
      <c r="A50" s="9">
        <f t="shared" si="61"/>
        <v>90</v>
      </c>
      <c r="B50">
        <v>22</v>
      </c>
      <c r="C50" s="2">
        <f t="shared" si="46"/>
        <v>0.7760271663124632</v>
      </c>
      <c r="D50" s="2">
        <f t="shared" si="47"/>
        <v>0.04850169789452895</v>
      </c>
      <c r="E50" s="11" t="s">
        <v>253</v>
      </c>
      <c r="F50" s="9">
        <v>22</v>
      </c>
      <c r="G50">
        <v>90</v>
      </c>
      <c r="H50">
        <v>2</v>
      </c>
      <c r="I50" s="10">
        <v>0.5</v>
      </c>
      <c r="J50">
        <v>0</v>
      </c>
      <c r="K50">
        <v>18</v>
      </c>
      <c r="L50">
        <v>8</v>
      </c>
      <c r="M50">
        <v>1</v>
      </c>
      <c r="N50">
        <v>0</v>
      </c>
      <c r="O50" s="2">
        <f t="shared" si="62"/>
        <v>4.090909090909091</v>
      </c>
      <c r="P50" s="42">
        <f t="shared" si="63"/>
        <v>4.444444444444445</v>
      </c>
      <c r="Q50" s="9">
        <f t="shared" si="64"/>
        <v>20</v>
      </c>
      <c r="R50" s="29">
        <f t="shared" si="65"/>
        <v>5</v>
      </c>
      <c r="S50" s="29">
        <f t="shared" si="48"/>
        <v>80</v>
      </c>
      <c r="T50" s="42">
        <f t="shared" si="66"/>
        <v>0</v>
      </c>
      <c r="U50" s="44">
        <f t="shared" si="32"/>
        <v>1</v>
      </c>
      <c r="V50" s="9">
        <f t="shared" si="67"/>
        <v>1</v>
      </c>
      <c r="W50" s="9">
        <f t="shared" si="68"/>
        <v>2</v>
      </c>
      <c r="X50" s="9">
        <f t="shared" si="69"/>
        <v>18</v>
      </c>
      <c r="Y50" s="9">
        <f t="shared" si="70"/>
        <v>0</v>
      </c>
      <c r="Z50">
        <f t="shared" si="71"/>
        <v>0</v>
      </c>
      <c r="AA50" s="2">
        <f t="shared" si="72"/>
        <v>0.5</v>
      </c>
      <c r="AB50" s="9" t="s">
        <v>1591</v>
      </c>
      <c r="AC50" s="9"/>
    </row>
    <row r="51" spans="1:29" ht="12.75">
      <c r="A51" s="9">
        <f t="shared" si="61"/>
        <v>200</v>
      </c>
      <c r="B51">
        <v>50</v>
      </c>
      <c r="C51" s="2">
        <f t="shared" si="46"/>
        <v>1.763698105255598</v>
      </c>
      <c r="D51" s="2">
        <f t="shared" si="47"/>
        <v>0.11023113157847488</v>
      </c>
      <c r="E51" s="11" t="s">
        <v>1373</v>
      </c>
      <c r="F51" s="9">
        <v>50</v>
      </c>
      <c r="G51">
        <v>200</v>
      </c>
      <c r="H51">
        <v>6</v>
      </c>
      <c r="I51" s="10">
        <v>5</v>
      </c>
      <c r="J51">
        <v>10</v>
      </c>
      <c r="K51">
        <v>22</v>
      </c>
      <c r="L51">
        <v>15</v>
      </c>
      <c r="M51">
        <v>15</v>
      </c>
      <c r="N51" s="9">
        <v>0</v>
      </c>
      <c r="O51" s="2">
        <f>G51/F51</f>
        <v>4</v>
      </c>
      <c r="P51" s="29">
        <f t="shared" si="63"/>
        <v>30</v>
      </c>
      <c r="Q51" s="9">
        <f t="shared" si="64"/>
        <v>27</v>
      </c>
      <c r="R51" s="42">
        <f t="shared" si="65"/>
        <v>22.5</v>
      </c>
      <c r="S51" s="16">
        <f t="shared" si="48"/>
        <v>44</v>
      </c>
      <c r="T51" s="42">
        <f t="shared" si="66"/>
        <v>0</v>
      </c>
      <c r="U51" s="44">
        <f>B51/F51</f>
        <v>1</v>
      </c>
      <c r="V51" s="16">
        <f t="shared" si="67"/>
        <v>15</v>
      </c>
      <c r="W51" s="9">
        <f t="shared" si="68"/>
        <v>6</v>
      </c>
      <c r="X51" s="9">
        <f t="shared" si="69"/>
        <v>22</v>
      </c>
      <c r="Y51" s="16">
        <f t="shared" si="70"/>
        <v>0</v>
      </c>
      <c r="Z51">
        <f t="shared" si="71"/>
        <v>10</v>
      </c>
      <c r="AA51" s="2">
        <f t="shared" si="72"/>
        <v>5</v>
      </c>
      <c r="AB51" s="11" t="s">
        <v>532</v>
      </c>
      <c r="AC51" s="9"/>
    </row>
    <row r="52" spans="1:29" ht="12.75">
      <c r="A52" s="9">
        <f>G52*U52</f>
        <v>210</v>
      </c>
      <c r="B52">
        <v>50</v>
      </c>
      <c r="C52" s="2">
        <f t="shared" si="46"/>
        <v>1.763698105255598</v>
      </c>
      <c r="D52" s="2">
        <f t="shared" si="47"/>
        <v>0.11023113157847488</v>
      </c>
      <c r="E52" s="11" t="s">
        <v>1372</v>
      </c>
      <c r="F52" s="9">
        <v>50</v>
      </c>
      <c r="G52">
        <v>210</v>
      </c>
      <c r="H52">
        <v>7</v>
      </c>
      <c r="I52" s="10">
        <v>4</v>
      </c>
      <c r="J52">
        <v>2.5</v>
      </c>
      <c r="K52">
        <v>23</v>
      </c>
      <c r="L52">
        <v>15</v>
      </c>
      <c r="M52">
        <v>15</v>
      </c>
      <c r="N52" s="9">
        <v>0.5</v>
      </c>
      <c r="O52" s="2">
        <f>G52/F52</f>
        <v>4.2</v>
      </c>
      <c r="P52" s="29">
        <f>100*4*M52/G52</f>
        <v>28.571428571428573</v>
      </c>
      <c r="Q52" s="9">
        <f>100*9*H52/G52</f>
        <v>30</v>
      </c>
      <c r="R52" s="42">
        <f>100*(I52*9)/G52</f>
        <v>17.142857142857142</v>
      </c>
      <c r="S52" s="16">
        <f>100*K52*4/G52</f>
        <v>43.80952380952381</v>
      </c>
      <c r="T52" s="42">
        <f>100*N52/F52</f>
        <v>1</v>
      </c>
      <c r="U52" s="44">
        <f>B52/F52</f>
        <v>1</v>
      </c>
      <c r="V52" s="16">
        <f>U52*M52</f>
        <v>15</v>
      </c>
      <c r="W52" s="9">
        <f>U52*H52</f>
        <v>7</v>
      </c>
      <c r="X52" s="9">
        <f>U52*K52</f>
        <v>23</v>
      </c>
      <c r="Y52" s="16">
        <f>N52*U52</f>
        <v>0.5</v>
      </c>
      <c r="Z52">
        <f>U52*J52</f>
        <v>2.5</v>
      </c>
      <c r="AA52" s="2">
        <f>I52*U52</f>
        <v>4</v>
      </c>
      <c r="AB52" s="11" t="s">
        <v>532</v>
      </c>
      <c r="AC52" s="9"/>
    </row>
    <row r="53" spans="1:29" ht="12.75">
      <c r="A53" s="9">
        <f t="shared" si="61"/>
        <v>210</v>
      </c>
      <c r="B53">
        <v>50</v>
      </c>
      <c r="C53" s="2">
        <f t="shared" si="46"/>
        <v>1.763698105255598</v>
      </c>
      <c r="D53" s="2">
        <f t="shared" si="47"/>
        <v>0.11023113157847488</v>
      </c>
      <c r="E53" s="11" t="s">
        <v>531</v>
      </c>
      <c r="F53" s="9">
        <v>50</v>
      </c>
      <c r="G53">
        <v>210</v>
      </c>
      <c r="H53">
        <v>7</v>
      </c>
      <c r="I53" s="10">
        <v>4.5</v>
      </c>
      <c r="J53">
        <v>2.5</v>
      </c>
      <c r="K53">
        <v>22</v>
      </c>
      <c r="L53">
        <v>13</v>
      </c>
      <c r="M53">
        <v>16</v>
      </c>
      <c r="N53" s="9">
        <v>0.5</v>
      </c>
      <c r="O53" s="2">
        <f>G53/F53</f>
        <v>4.2</v>
      </c>
      <c r="P53" s="29">
        <f t="shared" si="63"/>
        <v>30.476190476190474</v>
      </c>
      <c r="Q53" s="9">
        <f t="shared" si="64"/>
        <v>30</v>
      </c>
      <c r="R53" s="42">
        <f t="shared" si="65"/>
        <v>19.285714285714285</v>
      </c>
      <c r="S53" s="16">
        <f t="shared" si="48"/>
        <v>41.904761904761905</v>
      </c>
      <c r="T53" s="42">
        <f t="shared" si="66"/>
        <v>1</v>
      </c>
      <c r="U53" s="44">
        <f>B53/F53</f>
        <v>1</v>
      </c>
      <c r="V53" s="16">
        <f t="shared" si="67"/>
        <v>16</v>
      </c>
      <c r="W53" s="9">
        <f t="shared" si="68"/>
        <v>7</v>
      </c>
      <c r="X53" s="9">
        <f t="shared" si="69"/>
        <v>22</v>
      </c>
      <c r="Y53" s="16">
        <f t="shared" si="70"/>
        <v>0.5</v>
      </c>
      <c r="Z53">
        <f t="shared" si="71"/>
        <v>2.5</v>
      </c>
      <c r="AA53" s="2">
        <f t="shared" si="72"/>
        <v>4.5</v>
      </c>
      <c r="AB53" s="11" t="s">
        <v>532</v>
      </c>
      <c r="AC53" s="9"/>
    </row>
    <row r="54" spans="1:29" ht="12.75">
      <c r="A54" s="9">
        <f t="shared" si="61"/>
        <v>210</v>
      </c>
      <c r="B54">
        <v>50</v>
      </c>
      <c r="C54" s="2">
        <f t="shared" si="46"/>
        <v>1.763698105255598</v>
      </c>
      <c r="D54" s="2">
        <f t="shared" si="47"/>
        <v>0.11023113157847488</v>
      </c>
      <c r="E54" s="11" t="s">
        <v>1321</v>
      </c>
      <c r="F54" s="9">
        <v>50</v>
      </c>
      <c r="G54">
        <v>210</v>
      </c>
      <c r="H54">
        <v>7</v>
      </c>
      <c r="I54" s="10">
        <v>4.5</v>
      </c>
      <c r="J54">
        <v>2.5</v>
      </c>
      <c r="K54">
        <v>21</v>
      </c>
      <c r="L54">
        <v>14</v>
      </c>
      <c r="M54">
        <v>15</v>
      </c>
      <c r="N54">
        <v>1</v>
      </c>
      <c r="O54" s="2">
        <f t="shared" si="62"/>
        <v>4.2</v>
      </c>
      <c r="P54" s="16">
        <f t="shared" si="63"/>
        <v>28.571428571428573</v>
      </c>
      <c r="Q54" s="9">
        <f t="shared" si="64"/>
        <v>30</v>
      </c>
      <c r="R54" s="42">
        <f t="shared" si="65"/>
        <v>19.285714285714285</v>
      </c>
      <c r="S54" s="16">
        <f t="shared" si="48"/>
        <v>40</v>
      </c>
      <c r="T54" s="42">
        <f t="shared" si="66"/>
        <v>2</v>
      </c>
      <c r="U54" s="44">
        <f t="shared" si="32"/>
        <v>1</v>
      </c>
      <c r="V54" s="16">
        <f t="shared" si="67"/>
        <v>15</v>
      </c>
      <c r="W54" s="9">
        <f t="shared" si="68"/>
        <v>7</v>
      </c>
      <c r="X54" s="9">
        <f t="shared" si="69"/>
        <v>21</v>
      </c>
      <c r="Y54" s="16">
        <f t="shared" si="70"/>
        <v>1</v>
      </c>
      <c r="Z54">
        <f t="shared" si="71"/>
        <v>2.5</v>
      </c>
      <c r="AA54" s="2">
        <f t="shared" si="72"/>
        <v>4.5</v>
      </c>
      <c r="AB54" s="11" t="s">
        <v>532</v>
      </c>
      <c r="AC54" s="9"/>
    </row>
    <row r="55" spans="1:29" ht="12.75">
      <c r="A55" s="9">
        <f t="shared" si="61"/>
        <v>136</v>
      </c>
      <c r="B55">
        <v>30</v>
      </c>
      <c r="C55" s="2">
        <f t="shared" si="46"/>
        <v>1.058218863153359</v>
      </c>
      <c r="D55" s="2">
        <f t="shared" si="47"/>
        <v>0.06613867894708493</v>
      </c>
      <c r="E55" s="11" t="s">
        <v>1940</v>
      </c>
      <c r="F55" s="9">
        <v>30</v>
      </c>
      <c r="G55">
        <v>136</v>
      </c>
      <c r="H55">
        <v>7</v>
      </c>
      <c r="I55" s="10">
        <v>1</v>
      </c>
      <c r="J55">
        <v>0</v>
      </c>
      <c r="K55">
        <v>9</v>
      </c>
      <c r="L55">
        <v>0</v>
      </c>
      <c r="M55">
        <v>11</v>
      </c>
      <c r="N55">
        <v>1</v>
      </c>
      <c r="O55" s="2">
        <f>G55/F55</f>
        <v>4.533333333333333</v>
      </c>
      <c r="P55" s="29">
        <f t="shared" si="63"/>
        <v>32.35294117647059</v>
      </c>
      <c r="Q55" s="9">
        <f t="shared" si="64"/>
        <v>46.3235294117647</v>
      </c>
      <c r="R55" s="16">
        <f t="shared" si="65"/>
        <v>6.617647058823529</v>
      </c>
      <c r="S55" s="16">
        <f t="shared" si="48"/>
        <v>26.470588235294116</v>
      </c>
      <c r="T55" s="9">
        <f t="shared" si="66"/>
        <v>3.3333333333333335</v>
      </c>
      <c r="U55" s="44">
        <f>B55/F55</f>
        <v>1</v>
      </c>
      <c r="V55" s="9">
        <f t="shared" si="67"/>
        <v>11</v>
      </c>
      <c r="W55" s="9">
        <f t="shared" si="68"/>
        <v>7</v>
      </c>
      <c r="X55" s="9">
        <f t="shared" si="69"/>
        <v>9</v>
      </c>
      <c r="Y55" s="9">
        <f t="shared" si="70"/>
        <v>1</v>
      </c>
      <c r="Z55">
        <f t="shared" si="71"/>
        <v>0</v>
      </c>
      <c r="AA55" s="2">
        <f t="shared" si="72"/>
        <v>1</v>
      </c>
      <c r="AB55" s="9"/>
      <c r="AC55" s="9"/>
    </row>
    <row r="56" spans="1:29" ht="12.75">
      <c r="A56" s="9">
        <f t="shared" si="61"/>
        <v>130</v>
      </c>
      <c r="B56">
        <v>30</v>
      </c>
      <c r="C56" s="2">
        <f t="shared" si="46"/>
        <v>1.058218863153359</v>
      </c>
      <c r="D56" s="2">
        <f t="shared" si="47"/>
        <v>0.06613867894708493</v>
      </c>
      <c r="E56" s="11" t="s">
        <v>444</v>
      </c>
      <c r="F56" s="9">
        <v>30</v>
      </c>
      <c r="G56">
        <v>130</v>
      </c>
      <c r="H56">
        <v>7</v>
      </c>
      <c r="I56" s="10">
        <v>1</v>
      </c>
      <c r="J56">
        <v>0</v>
      </c>
      <c r="K56">
        <v>9</v>
      </c>
      <c r="L56">
        <v>1</v>
      </c>
      <c r="M56">
        <v>11</v>
      </c>
      <c r="N56">
        <v>5</v>
      </c>
      <c r="O56" s="2">
        <f t="shared" si="62"/>
        <v>4.333333333333333</v>
      </c>
      <c r="P56" s="29">
        <f t="shared" si="63"/>
        <v>33.84615384615385</v>
      </c>
      <c r="Q56" s="9">
        <f t="shared" si="64"/>
        <v>48.46153846153846</v>
      </c>
      <c r="R56" s="16">
        <f t="shared" si="65"/>
        <v>6.923076923076923</v>
      </c>
      <c r="S56" s="16">
        <f t="shared" si="48"/>
        <v>27.692307692307693</v>
      </c>
      <c r="T56" s="29">
        <f t="shared" si="66"/>
        <v>16.666666666666668</v>
      </c>
      <c r="U56" s="44">
        <f t="shared" si="32"/>
        <v>1</v>
      </c>
      <c r="V56" s="9">
        <f t="shared" si="67"/>
        <v>11</v>
      </c>
      <c r="W56" s="9">
        <f t="shared" si="68"/>
        <v>7</v>
      </c>
      <c r="X56" s="9">
        <f t="shared" si="69"/>
        <v>9</v>
      </c>
      <c r="Y56" s="9">
        <f t="shared" si="70"/>
        <v>5</v>
      </c>
      <c r="Z56">
        <f t="shared" si="71"/>
        <v>0</v>
      </c>
      <c r="AA56" s="2">
        <f t="shared" si="72"/>
        <v>1</v>
      </c>
      <c r="AB56" s="9"/>
      <c r="AC56" s="9"/>
    </row>
    <row r="57" spans="1:29" ht="12.75">
      <c r="A57" s="9">
        <f t="shared" si="61"/>
        <v>150</v>
      </c>
      <c r="B57">
        <v>31</v>
      </c>
      <c r="C57" s="2">
        <f t="shared" si="46"/>
        <v>1.0934928252584708</v>
      </c>
      <c r="D57" s="2">
        <f t="shared" si="47"/>
        <v>0.06834330157865443</v>
      </c>
      <c r="E57" s="11" t="s">
        <v>1539</v>
      </c>
      <c r="F57" s="9">
        <v>31</v>
      </c>
      <c r="G57">
        <v>150</v>
      </c>
      <c r="H57">
        <v>6</v>
      </c>
      <c r="I57" s="10">
        <v>1</v>
      </c>
      <c r="J57">
        <v>0</v>
      </c>
      <c r="K57">
        <v>21</v>
      </c>
      <c r="L57">
        <v>3</v>
      </c>
      <c r="M57">
        <v>2</v>
      </c>
      <c r="N57">
        <v>1</v>
      </c>
      <c r="O57" s="2">
        <f t="shared" si="62"/>
        <v>4.838709677419355</v>
      </c>
      <c r="P57" s="42">
        <f t="shared" si="63"/>
        <v>5.333333333333333</v>
      </c>
      <c r="Q57" s="9">
        <f t="shared" si="64"/>
        <v>36</v>
      </c>
      <c r="R57" s="16">
        <f t="shared" si="65"/>
        <v>6</v>
      </c>
      <c r="S57" s="16">
        <f t="shared" si="48"/>
        <v>56</v>
      </c>
      <c r="T57" s="9">
        <f t="shared" si="66"/>
        <v>3.225806451612903</v>
      </c>
      <c r="U57" s="44">
        <f t="shared" si="32"/>
        <v>1</v>
      </c>
      <c r="V57" s="9">
        <f t="shared" si="67"/>
        <v>2</v>
      </c>
      <c r="W57" s="9">
        <f t="shared" si="68"/>
        <v>6</v>
      </c>
      <c r="X57" s="9">
        <f t="shared" si="69"/>
        <v>21</v>
      </c>
      <c r="Y57" s="9">
        <f t="shared" si="70"/>
        <v>1</v>
      </c>
      <c r="Z57">
        <f t="shared" si="71"/>
        <v>0</v>
      </c>
      <c r="AA57" s="2">
        <f t="shared" si="72"/>
        <v>1</v>
      </c>
      <c r="AB57" s="9" t="s">
        <v>1590</v>
      </c>
      <c r="AC57" s="9"/>
    </row>
    <row r="58" spans="1:29" ht="12.75">
      <c r="A58" s="9">
        <f t="shared" si="61"/>
        <v>199.37456842019807</v>
      </c>
      <c r="B58">
        <v>39</v>
      </c>
      <c r="C58" s="2">
        <f t="shared" si="46"/>
        <v>1.3756845220993665</v>
      </c>
      <c r="D58" s="2">
        <f t="shared" si="47"/>
        <v>0.08598028263121041</v>
      </c>
      <c r="E58" s="11" t="s">
        <v>1937</v>
      </c>
      <c r="F58" s="9">
        <f>1.38*28.349523</f>
        <v>39.122341739999996</v>
      </c>
      <c r="G58">
        <v>200</v>
      </c>
      <c r="H58">
        <v>10</v>
      </c>
      <c r="I58" s="10">
        <v>1.5</v>
      </c>
      <c r="J58">
        <v>0</v>
      </c>
      <c r="K58">
        <v>23</v>
      </c>
      <c r="L58">
        <v>4</v>
      </c>
      <c r="M58">
        <v>4</v>
      </c>
      <c r="N58">
        <v>1</v>
      </c>
      <c r="O58" s="2">
        <f t="shared" si="62"/>
        <v>5.11216842103072</v>
      </c>
      <c r="P58" s="42">
        <f t="shared" si="63"/>
        <v>8</v>
      </c>
      <c r="Q58" s="9">
        <f t="shared" si="64"/>
        <v>45</v>
      </c>
      <c r="R58" s="16">
        <f t="shared" si="65"/>
        <v>6.75</v>
      </c>
      <c r="S58" s="16">
        <f t="shared" si="48"/>
        <v>46</v>
      </c>
      <c r="T58" s="9">
        <f t="shared" si="66"/>
        <v>2.55608421051536</v>
      </c>
      <c r="U58" s="44">
        <f t="shared" si="32"/>
        <v>0.9968728421009904</v>
      </c>
      <c r="V58" s="9">
        <f t="shared" si="67"/>
        <v>3.9874913684039615</v>
      </c>
      <c r="W58" s="9">
        <f t="shared" si="68"/>
        <v>9.968728421009903</v>
      </c>
      <c r="X58" s="9">
        <f t="shared" si="69"/>
        <v>22.92807536832278</v>
      </c>
      <c r="Y58" s="9">
        <f t="shared" si="70"/>
        <v>0.9968728421009904</v>
      </c>
      <c r="Z58">
        <f t="shared" si="71"/>
        <v>0</v>
      </c>
      <c r="AA58" s="2">
        <f t="shared" si="72"/>
        <v>1.4953092631514855</v>
      </c>
      <c r="AB58" s="9" t="s">
        <v>1590</v>
      </c>
      <c r="AC58" s="9"/>
    </row>
    <row r="59" spans="1:29" ht="12.75">
      <c r="A59" s="9">
        <f t="shared" si="61"/>
        <v>170.09374055034775</v>
      </c>
      <c r="B59">
        <v>37.5</v>
      </c>
      <c r="C59" s="2">
        <f aca="true" t="shared" si="73" ref="C59:C75">B59/28.349523</f>
        <v>1.3227735789416986</v>
      </c>
      <c r="D59" s="2">
        <f aca="true" t="shared" si="74" ref="D59:D75">C59/16</f>
        <v>0.08267334868385616</v>
      </c>
      <c r="E59" s="11" t="s">
        <v>397</v>
      </c>
      <c r="F59">
        <v>33.07</v>
      </c>
      <c r="G59" s="6">
        <v>150</v>
      </c>
      <c r="H59">
        <v>7</v>
      </c>
      <c r="I59" s="10">
        <v>4</v>
      </c>
      <c r="J59">
        <v>0</v>
      </c>
      <c r="K59">
        <v>22</v>
      </c>
      <c r="L59">
        <v>18</v>
      </c>
      <c r="M59">
        <v>2</v>
      </c>
      <c r="N59">
        <v>2</v>
      </c>
      <c r="O59" s="2">
        <f>G59/F59</f>
        <v>4.535833081342607</v>
      </c>
      <c r="P59" s="42">
        <f t="shared" si="63"/>
        <v>5.333333333333333</v>
      </c>
      <c r="Q59" s="16">
        <f t="shared" si="64"/>
        <v>42</v>
      </c>
      <c r="R59" s="42">
        <f t="shared" si="65"/>
        <v>24</v>
      </c>
      <c r="S59" s="16">
        <f>100*K59*4/G59</f>
        <v>58.666666666666664</v>
      </c>
      <c r="T59" s="9">
        <f t="shared" si="66"/>
        <v>6.047777441790142</v>
      </c>
      <c r="U59" s="44">
        <f t="shared" si="32"/>
        <v>1.1339582703356517</v>
      </c>
      <c r="V59" s="9">
        <f t="shared" si="67"/>
        <v>2.2679165406713033</v>
      </c>
      <c r="W59" s="9">
        <f t="shared" si="68"/>
        <v>7.937707892349562</v>
      </c>
      <c r="X59" s="9">
        <f t="shared" si="69"/>
        <v>24.947081947384337</v>
      </c>
      <c r="Y59" s="9">
        <f t="shared" si="70"/>
        <v>2.2679165406713033</v>
      </c>
      <c r="Z59">
        <f t="shared" si="71"/>
        <v>0</v>
      </c>
      <c r="AA59" s="2">
        <f t="shared" si="72"/>
        <v>4.535833081342607</v>
      </c>
      <c r="AB59" t="s">
        <v>398</v>
      </c>
      <c r="AC59" s="9"/>
    </row>
    <row r="60" spans="1:29" ht="12.75">
      <c r="A60" s="9">
        <f t="shared" si="61"/>
        <v>180</v>
      </c>
      <c r="B60">
        <v>37.5</v>
      </c>
      <c r="C60" s="2">
        <f t="shared" si="73"/>
        <v>1.3227735789416986</v>
      </c>
      <c r="D60" s="2">
        <f t="shared" si="74"/>
        <v>0.08267334868385616</v>
      </c>
      <c r="E60" s="11" t="s">
        <v>396</v>
      </c>
      <c r="F60">
        <v>37.5</v>
      </c>
      <c r="G60" s="6">
        <v>180</v>
      </c>
      <c r="H60">
        <v>10</v>
      </c>
      <c r="I60" s="10">
        <v>6</v>
      </c>
      <c r="J60">
        <v>5</v>
      </c>
      <c r="K60">
        <v>21</v>
      </c>
      <c r="L60">
        <v>19</v>
      </c>
      <c r="M60">
        <v>2</v>
      </c>
      <c r="N60">
        <v>2</v>
      </c>
      <c r="O60" s="2">
        <f t="shared" si="62"/>
        <v>4.8</v>
      </c>
      <c r="P60" s="42">
        <f t="shared" si="63"/>
        <v>4.444444444444445</v>
      </c>
      <c r="Q60" s="29">
        <f t="shared" si="64"/>
        <v>50</v>
      </c>
      <c r="R60" s="42">
        <f t="shared" si="65"/>
        <v>30</v>
      </c>
      <c r="S60" s="16">
        <f t="shared" si="48"/>
        <v>46.666666666666664</v>
      </c>
      <c r="T60" s="9">
        <f t="shared" si="66"/>
        <v>5.333333333333333</v>
      </c>
      <c r="U60" s="44">
        <f>B60/F60</f>
        <v>1</v>
      </c>
      <c r="V60" s="9">
        <f t="shared" si="67"/>
        <v>2</v>
      </c>
      <c r="W60" s="9">
        <f t="shared" si="68"/>
        <v>10</v>
      </c>
      <c r="X60" s="9">
        <f t="shared" si="69"/>
        <v>21</v>
      </c>
      <c r="Y60" s="9">
        <f t="shared" si="70"/>
        <v>2</v>
      </c>
      <c r="Z60">
        <f t="shared" si="71"/>
        <v>5</v>
      </c>
      <c r="AA60" s="2">
        <f t="shared" si="72"/>
        <v>6</v>
      </c>
      <c r="AB60" t="s">
        <v>398</v>
      </c>
      <c r="AC60" s="9"/>
    </row>
    <row r="61" spans="1:29" ht="12.75">
      <c r="A61" s="9">
        <f aca="true" t="shared" si="75" ref="A61:A75">G61*U61</f>
        <v>220</v>
      </c>
      <c r="B61">
        <v>40</v>
      </c>
      <c r="C61" s="2">
        <f t="shared" si="73"/>
        <v>1.4109584842044784</v>
      </c>
      <c r="D61" s="2">
        <f t="shared" si="74"/>
        <v>0.0881849052627799</v>
      </c>
      <c r="E61" s="11" t="s">
        <v>1847</v>
      </c>
      <c r="F61" s="9">
        <v>40</v>
      </c>
      <c r="G61" s="6">
        <v>220</v>
      </c>
      <c r="H61">
        <v>18</v>
      </c>
      <c r="I61" s="44">
        <v>11</v>
      </c>
      <c r="J61">
        <v>0</v>
      </c>
      <c r="K61">
        <v>18</v>
      </c>
      <c r="L61">
        <v>10</v>
      </c>
      <c r="M61">
        <v>2</v>
      </c>
      <c r="N61">
        <v>3</v>
      </c>
      <c r="O61" s="2">
        <f aca="true" t="shared" si="76" ref="O61:O74">G61/F61</f>
        <v>5.5</v>
      </c>
      <c r="P61" s="42">
        <f aca="true" t="shared" si="77" ref="P61:P74">100*4*M61/G61</f>
        <v>3.6363636363636362</v>
      </c>
      <c r="Q61" s="29">
        <f aca="true" t="shared" si="78" ref="Q61:Q74">100*9*H61/G61</f>
        <v>73.63636363636364</v>
      </c>
      <c r="R61" s="42">
        <f aca="true" t="shared" si="79" ref="R61:R74">100*(I61*9)/G61</f>
        <v>45</v>
      </c>
      <c r="S61" s="16">
        <f aca="true" t="shared" si="80" ref="S61:S74">100*K61*4/G61</f>
        <v>32.72727272727273</v>
      </c>
      <c r="T61" s="9">
        <f aca="true" t="shared" si="81" ref="T61:T74">100*N61/F61</f>
        <v>7.5</v>
      </c>
      <c r="U61" s="44">
        <f t="shared" si="32"/>
        <v>1</v>
      </c>
      <c r="V61" s="9">
        <f aca="true" t="shared" si="82" ref="V61:V74">U61*M61</f>
        <v>2</v>
      </c>
      <c r="W61" s="9">
        <f aca="true" t="shared" si="83" ref="W61:W74">U61*H61</f>
        <v>18</v>
      </c>
      <c r="X61" s="9">
        <f aca="true" t="shared" si="84" ref="X61:X74">U61*K61</f>
        <v>18</v>
      </c>
      <c r="Y61" s="9">
        <f aca="true" t="shared" si="85" ref="Y61:Y74">N61*U61</f>
        <v>3</v>
      </c>
      <c r="Z61">
        <f aca="true" t="shared" si="86" ref="Z61:Z74">U61*J61</f>
        <v>0</v>
      </c>
      <c r="AA61" s="2">
        <f aca="true" t="shared" si="87" ref="AA61:AA75">I61*U61</f>
        <v>11</v>
      </c>
      <c r="AB61" t="s">
        <v>1592</v>
      </c>
      <c r="AC61" s="9"/>
    </row>
    <row r="62" spans="1:29" ht="12.75">
      <c r="A62" s="9">
        <f t="shared" si="75"/>
        <v>200</v>
      </c>
      <c r="B62">
        <v>37</v>
      </c>
      <c r="C62" s="2">
        <f t="shared" si="73"/>
        <v>1.3051365978891425</v>
      </c>
      <c r="D62" s="2">
        <f t="shared" si="74"/>
        <v>0.0815710373680714</v>
      </c>
      <c r="E62" s="11" t="s">
        <v>1941</v>
      </c>
      <c r="F62" s="9">
        <v>37</v>
      </c>
      <c r="G62" s="6">
        <v>200</v>
      </c>
      <c r="H62">
        <v>12</v>
      </c>
      <c r="I62" s="10">
        <v>7</v>
      </c>
      <c r="J62">
        <v>0</v>
      </c>
      <c r="K62">
        <v>22</v>
      </c>
      <c r="L62">
        <v>18</v>
      </c>
      <c r="M62">
        <v>2</v>
      </c>
      <c r="N62">
        <v>2</v>
      </c>
      <c r="O62" s="2">
        <f t="shared" si="76"/>
        <v>5.405405405405405</v>
      </c>
      <c r="P62" s="42">
        <f t="shared" si="77"/>
        <v>4</v>
      </c>
      <c r="Q62" s="9">
        <f t="shared" si="78"/>
        <v>54</v>
      </c>
      <c r="R62" s="42">
        <f t="shared" si="79"/>
        <v>31.5</v>
      </c>
      <c r="S62" s="16">
        <f t="shared" si="80"/>
        <v>44</v>
      </c>
      <c r="T62" s="9">
        <f t="shared" si="81"/>
        <v>5.405405405405405</v>
      </c>
      <c r="U62" s="44">
        <f t="shared" si="32"/>
        <v>1</v>
      </c>
      <c r="V62" s="9">
        <f t="shared" si="82"/>
        <v>2</v>
      </c>
      <c r="W62" s="9">
        <f t="shared" si="83"/>
        <v>12</v>
      </c>
      <c r="X62" s="9">
        <f t="shared" si="84"/>
        <v>22</v>
      </c>
      <c r="Y62" s="9">
        <f t="shared" si="85"/>
        <v>2</v>
      </c>
      <c r="Z62">
        <f t="shared" si="86"/>
        <v>0</v>
      </c>
      <c r="AA62" s="2">
        <f t="shared" si="87"/>
        <v>7</v>
      </c>
      <c r="AB62" t="s">
        <v>1592</v>
      </c>
      <c r="AC62" s="9"/>
    </row>
    <row r="63" spans="1:29" ht="12.75">
      <c r="A63" s="9">
        <f t="shared" si="75"/>
        <v>220</v>
      </c>
      <c r="B63">
        <v>40</v>
      </c>
      <c r="C63" s="2">
        <f t="shared" si="73"/>
        <v>1.4109584842044784</v>
      </c>
      <c r="D63" s="2">
        <f t="shared" si="74"/>
        <v>0.0881849052627799</v>
      </c>
      <c r="E63" s="11" t="s">
        <v>2052</v>
      </c>
      <c r="F63" s="9">
        <v>40</v>
      </c>
      <c r="G63">
        <v>220</v>
      </c>
      <c r="H63">
        <v>13</v>
      </c>
      <c r="I63" s="10">
        <v>8</v>
      </c>
      <c r="J63">
        <v>0</v>
      </c>
      <c r="K63">
        <v>23</v>
      </c>
      <c r="L63">
        <v>23</v>
      </c>
      <c r="M63">
        <v>2</v>
      </c>
      <c r="N63">
        <v>0</v>
      </c>
      <c r="O63" s="2">
        <f t="shared" si="76"/>
        <v>5.5</v>
      </c>
      <c r="P63" s="42">
        <f t="shared" si="77"/>
        <v>3.6363636363636362</v>
      </c>
      <c r="Q63" s="9">
        <f t="shared" si="78"/>
        <v>53.18181818181818</v>
      </c>
      <c r="R63" s="42">
        <f t="shared" si="79"/>
        <v>32.72727272727273</v>
      </c>
      <c r="S63" s="16">
        <f t="shared" si="80"/>
        <v>41.81818181818182</v>
      </c>
      <c r="T63" s="42">
        <f t="shared" si="81"/>
        <v>0</v>
      </c>
      <c r="U63" s="44">
        <f t="shared" si="32"/>
        <v>1</v>
      </c>
      <c r="V63" s="9">
        <f t="shared" si="82"/>
        <v>2</v>
      </c>
      <c r="W63" s="9">
        <f t="shared" si="83"/>
        <v>13</v>
      </c>
      <c r="X63" s="9">
        <f t="shared" si="84"/>
        <v>23</v>
      </c>
      <c r="Y63" s="9">
        <f t="shared" si="85"/>
        <v>0</v>
      </c>
      <c r="Z63">
        <f t="shared" si="86"/>
        <v>0</v>
      </c>
      <c r="AA63" s="2">
        <f t="shared" si="87"/>
        <v>8</v>
      </c>
      <c r="AB63" t="s">
        <v>1592</v>
      </c>
      <c r="AC63" s="9"/>
    </row>
    <row r="64" spans="1:29" ht="12.75">
      <c r="A64" s="9">
        <f>G64*U64</f>
        <v>240</v>
      </c>
      <c r="B64">
        <v>40</v>
      </c>
      <c r="C64" s="2">
        <f t="shared" si="73"/>
        <v>1.4109584842044784</v>
      </c>
      <c r="D64" s="2">
        <f t="shared" si="74"/>
        <v>0.0881849052627799</v>
      </c>
      <c r="E64" s="11" t="s">
        <v>2049</v>
      </c>
      <c r="F64" s="9">
        <v>40</v>
      </c>
      <c r="G64">
        <v>240</v>
      </c>
      <c r="H64">
        <v>17</v>
      </c>
      <c r="I64" s="16">
        <v>10</v>
      </c>
      <c r="J64">
        <v>5</v>
      </c>
      <c r="K64">
        <v>20</v>
      </c>
      <c r="L64">
        <v>16</v>
      </c>
      <c r="M64">
        <v>2</v>
      </c>
      <c r="N64">
        <v>0</v>
      </c>
      <c r="O64" s="32">
        <f>G64/F64</f>
        <v>6</v>
      </c>
      <c r="P64" s="42">
        <f>100*4*M64/G64</f>
        <v>3.3333333333333335</v>
      </c>
      <c r="Q64" s="9">
        <f>100*9*H64/G64</f>
        <v>63.75</v>
      </c>
      <c r="R64" s="42">
        <f>100*(I64*9)/G64</f>
        <v>37.5</v>
      </c>
      <c r="S64" s="16">
        <f>100*K64*4/G64</f>
        <v>33.333333333333336</v>
      </c>
      <c r="T64" s="42">
        <f>100*N64/F64</f>
        <v>0</v>
      </c>
      <c r="U64" s="44">
        <f>B64/F64</f>
        <v>1</v>
      </c>
      <c r="V64" s="9">
        <f>U64*M64</f>
        <v>2</v>
      </c>
      <c r="W64" s="9">
        <f>U64*H64</f>
        <v>17</v>
      </c>
      <c r="X64" s="9">
        <f>U64*K64</f>
        <v>20</v>
      </c>
      <c r="Y64" s="9">
        <f>N64*U64</f>
        <v>0</v>
      </c>
      <c r="Z64">
        <f>U64*J64</f>
        <v>5</v>
      </c>
      <c r="AA64" s="2">
        <f>I64*U64</f>
        <v>10</v>
      </c>
      <c r="AB64" t="s">
        <v>1592</v>
      </c>
      <c r="AC64" s="9"/>
    </row>
    <row r="65" spans="1:29" ht="12.75">
      <c r="A65" s="9">
        <f>G65*U65</f>
        <v>230</v>
      </c>
      <c r="B65">
        <v>50</v>
      </c>
      <c r="C65" s="2">
        <f t="shared" si="73"/>
        <v>1.763698105255598</v>
      </c>
      <c r="D65" s="2">
        <f t="shared" si="74"/>
        <v>0.11023113157847488</v>
      </c>
      <c r="E65" s="11" t="s">
        <v>1846</v>
      </c>
      <c r="F65" s="9">
        <v>50</v>
      </c>
      <c r="G65">
        <v>230</v>
      </c>
      <c r="H65">
        <v>16</v>
      </c>
      <c r="I65" s="10">
        <v>9</v>
      </c>
      <c r="J65">
        <v>0</v>
      </c>
      <c r="K65">
        <v>28</v>
      </c>
      <c r="L65">
        <v>23</v>
      </c>
      <c r="M65">
        <v>3</v>
      </c>
      <c r="N65">
        <v>3</v>
      </c>
      <c r="O65" s="2">
        <f t="shared" si="76"/>
        <v>4.6</v>
      </c>
      <c r="P65" s="42">
        <f t="shared" si="77"/>
        <v>5.217391304347826</v>
      </c>
      <c r="Q65" s="9">
        <f t="shared" si="78"/>
        <v>62.608695652173914</v>
      </c>
      <c r="R65" s="42">
        <f t="shared" si="79"/>
        <v>35.21739130434783</v>
      </c>
      <c r="S65" s="16">
        <f t="shared" si="80"/>
        <v>48.69565217391305</v>
      </c>
      <c r="T65" s="42">
        <f t="shared" si="81"/>
        <v>6</v>
      </c>
      <c r="U65" s="44">
        <f t="shared" si="32"/>
        <v>1</v>
      </c>
      <c r="V65" s="9">
        <f t="shared" si="82"/>
        <v>3</v>
      </c>
      <c r="W65" s="9">
        <f t="shared" si="83"/>
        <v>16</v>
      </c>
      <c r="X65" s="9">
        <f t="shared" si="84"/>
        <v>28</v>
      </c>
      <c r="Y65" s="9">
        <f t="shared" si="85"/>
        <v>3</v>
      </c>
      <c r="Z65">
        <f t="shared" si="86"/>
        <v>0</v>
      </c>
      <c r="AA65" s="2">
        <f t="shared" si="87"/>
        <v>9</v>
      </c>
      <c r="AB65" t="s">
        <v>1592</v>
      </c>
      <c r="AC65" s="9"/>
    </row>
    <row r="66" spans="1:29" ht="12.75">
      <c r="A66" s="9">
        <f t="shared" si="75"/>
        <v>260</v>
      </c>
      <c r="B66">
        <v>44</v>
      </c>
      <c r="C66" s="2">
        <f t="shared" si="73"/>
        <v>1.5520543326249263</v>
      </c>
      <c r="D66" s="2">
        <f t="shared" si="74"/>
        <v>0.0970033957890579</v>
      </c>
      <c r="E66" s="11" t="s">
        <v>89</v>
      </c>
      <c r="F66" s="9">
        <v>44</v>
      </c>
      <c r="G66">
        <v>260</v>
      </c>
      <c r="H66">
        <v>19</v>
      </c>
      <c r="I66" s="44">
        <v>11</v>
      </c>
      <c r="J66">
        <v>0.005</v>
      </c>
      <c r="K66">
        <v>18</v>
      </c>
      <c r="L66">
        <v>11</v>
      </c>
      <c r="M66">
        <v>4</v>
      </c>
      <c r="N66">
        <v>3</v>
      </c>
      <c r="O66" s="2">
        <f t="shared" si="76"/>
        <v>5.909090909090909</v>
      </c>
      <c r="P66" s="42">
        <f t="shared" si="77"/>
        <v>6.153846153846154</v>
      </c>
      <c r="Q66" s="9">
        <f t="shared" si="78"/>
        <v>65.76923076923077</v>
      </c>
      <c r="R66" s="42">
        <f t="shared" si="79"/>
        <v>38.07692307692308</v>
      </c>
      <c r="S66" s="16">
        <f t="shared" si="80"/>
        <v>27.692307692307693</v>
      </c>
      <c r="T66" s="9">
        <f t="shared" si="81"/>
        <v>6.818181818181818</v>
      </c>
      <c r="U66" s="44">
        <f t="shared" si="32"/>
        <v>1</v>
      </c>
      <c r="V66" s="9">
        <f t="shared" si="82"/>
        <v>4</v>
      </c>
      <c r="W66" s="9">
        <f t="shared" si="83"/>
        <v>19</v>
      </c>
      <c r="X66" s="9">
        <f t="shared" si="84"/>
        <v>18</v>
      </c>
      <c r="Y66" s="9">
        <f t="shared" si="85"/>
        <v>3</v>
      </c>
      <c r="Z66">
        <f t="shared" si="86"/>
        <v>0.005</v>
      </c>
      <c r="AA66" s="2">
        <f t="shared" si="87"/>
        <v>11</v>
      </c>
      <c r="AB66" t="s">
        <v>1592</v>
      </c>
      <c r="AC66" s="9"/>
    </row>
    <row r="67" spans="1:29" ht="12.75">
      <c r="A67" s="9">
        <f>G67*U67</f>
        <v>170</v>
      </c>
      <c r="B67">
        <v>30</v>
      </c>
      <c r="C67" s="2">
        <f t="shared" si="73"/>
        <v>1.058218863153359</v>
      </c>
      <c r="D67" s="2">
        <f t="shared" si="74"/>
        <v>0.06613867894708493</v>
      </c>
      <c r="E67" s="11" t="s">
        <v>866</v>
      </c>
      <c r="F67" s="9">
        <v>30</v>
      </c>
      <c r="G67">
        <v>170</v>
      </c>
      <c r="H67">
        <v>15</v>
      </c>
      <c r="I67" s="10">
        <v>1</v>
      </c>
      <c r="J67">
        <v>0</v>
      </c>
      <c r="K67">
        <v>5</v>
      </c>
      <c r="L67">
        <v>1</v>
      </c>
      <c r="M67">
        <v>7</v>
      </c>
      <c r="N67">
        <v>4</v>
      </c>
      <c r="O67" s="2">
        <f>G67/F67</f>
        <v>5.666666666666667</v>
      </c>
      <c r="P67" s="9">
        <f>100*4*M67/G67</f>
        <v>16.470588235294116</v>
      </c>
      <c r="Q67" s="29">
        <f>100*9*H67/G67</f>
        <v>79.41176470588235</v>
      </c>
      <c r="R67" s="29">
        <f>100*(I67*9)/G67</f>
        <v>5.294117647058823</v>
      </c>
      <c r="S67" s="16">
        <f>100*K67*4/G67</f>
        <v>11.764705882352942</v>
      </c>
      <c r="T67" s="29">
        <f>100*N67/F67</f>
        <v>13.333333333333334</v>
      </c>
      <c r="U67" s="44">
        <f>B67/F67</f>
        <v>1</v>
      </c>
      <c r="V67" s="9">
        <f>U67*M67</f>
        <v>7</v>
      </c>
      <c r="W67" s="9">
        <f>U67*H67</f>
        <v>15</v>
      </c>
      <c r="X67" s="9">
        <f>U67*K67</f>
        <v>5</v>
      </c>
      <c r="Y67" s="9">
        <f>N67*U67</f>
        <v>4</v>
      </c>
      <c r="Z67">
        <f>U67*J67</f>
        <v>0</v>
      </c>
      <c r="AA67" s="2">
        <f>I67*U67</f>
        <v>1</v>
      </c>
      <c r="AB67" s="9" t="s">
        <v>527</v>
      </c>
      <c r="AC67" s="9"/>
    </row>
    <row r="68" spans="1:29" ht="12.75">
      <c r="A68" s="9">
        <f>G68*U68</f>
        <v>180</v>
      </c>
      <c r="B68">
        <v>30</v>
      </c>
      <c r="C68" s="2">
        <f t="shared" si="73"/>
        <v>1.058218863153359</v>
      </c>
      <c r="D68" s="2">
        <f t="shared" si="74"/>
        <v>0.06613867894708493</v>
      </c>
      <c r="E68" s="11" t="s">
        <v>865</v>
      </c>
      <c r="F68" s="9">
        <v>30</v>
      </c>
      <c r="G68">
        <v>180</v>
      </c>
      <c r="H68">
        <v>15</v>
      </c>
      <c r="I68" s="10">
        <v>1</v>
      </c>
      <c r="J68">
        <v>0</v>
      </c>
      <c r="K68">
        <v>5</v>
      </c>
      <c r="L68">
        <v>1</v>
      </c>
      <c r="M68">
        <v>7</v>
      </c>
      <c r="N68">
        <v>3</v>
      </c>
      <c r="O68" s="2">
        <f>G68/F68</f>
        <v>6</v>
      </c>
      <c r="P68" s="9">
        <f>100*4*M68/G68</f>
        <v>15.555555555555555</v>
      </c>
      <c r="Q68" s="29">
        <f>100*9*H68/G68</f>
        <v>75</v>
      </c>
      <c r="R68" s="29">
        <f>100*(I68*9)/G68</f>
        <v>5</v>
      </c>
      <c r="S68" s="16">
        <f>100*K68*4/G68</f>
        <v>11.11111111111111</v>
      </c>
      <c r="T68" s="29">
        <f>100*N68/F68</f>
        <v>10</v>
      </c>
      <c r="U68" s="44">
        <f>B68/F68</f>
        <v>1</v>
      </c>
      <c r="V68" s="9">
        <f>U68*M68</f>
        <v>7</v>
      </c>
      <c r="W68" s="9">
        <f>U68*H68</f>
        <v>15</v>
      </c>
      <c r="X68" s="9">
        <f>U68*K68</f>
        <v>5</v>
      </c>
      <c r="Y68" s="9">
        <f>N68*U68</f>
        <v>3</v>
      </c>
      <c r="Z68">
        <f>U68*J68</f>
        <v>0</v>
      </c>
      <c r="AA68" s="2">
        <f>I68*U68</f>
        <v>1</v>
      </c>
      <c r="AB68" s="9" t="s">
        <v>527</v>
      </c>
      <c r="AC68" s="9"/>
    </row>
    <row r="69" spans="1:29" ht="12.75">
      <c r="A69" s="9">
        <f t="shared" si="75"/>
        <v>180</v>
      </c>
      <c r="B69">
        <v>30</v>
      </c>
      <c r="C69" s="2">
        <f t="shared" si="73"/>
        <v>1.058218863153359</v>
      </c>
      <c r="D69" s="2">
        <f t="shared" si="74"/>
        <v>0.06613867894708493</v>
      </c>
      <c r="E69" s="11" t="s">
        <v>1782</v>
      </c>
      <c r="F69" s="9">
        <v>30</v>
      </c>
      <c r="G69">
        <v>180</v>
      </c>
      <c r="H69">
        <v>15</v>
      </c>
      <c r="I69" s="10">
        <v>1</v>
      </c>
      <c r="J69">
        <v>0</v>
      </c>
      <c r="K69">
        <v>5</v>
      </c>
      <c r="L69">
        <v>1</v>
      </c>
      <c r="M69">
        <v>7</v>
      </c>
      <c r="N69">
        <v>3</v>
      </c>
      <c r="O69" s="2">
        <f t="shared" si="76"/>
        <v>6</v>
      </c>
      <c r="P69" s="9">
        <f t="shared" si="77"/>
        <v>15.555555555555555</v>
      </c>
      <c r="Q69" s="29">
        <f t="shared" si="78"/>
        <v>75</v>
      </c>
      <c r="R69" s="29">
        <f t="shared" si="79"/>
        <v>5</v>
      </c>
      <c r="S69" s="16">
        <f t="shared" si="80"/>
        <v>11.11111111111111</v>
      </c>
      <c r="T69" s="29">
        <f t="shared" si="81"/>
        <v>10</v>
      </c>
      <c r="U69" s="44">
        <f t="shared" si="32"/>
        <v>1</v>
      </c>
      <c r="V69" s="9">
        <f t="shared" si="82"/>
        <v>7</v>
      </c>
      <c r="W69" s="9">
        <f t="shared" si="83"/>
        <v>15</v>
      </c>
      <c r="X69" s="9">
        <f t="shared" si="84"/>
        <v>5</v>
      </c>
      <c r="Y69" s="9">
        <f t="shared" si="85"/>
        <v>3</v>
      </c>
      <c r="Z69">
        <f t="shared" si="86"/>
        <v>0</v>
      </c>
      <c r="AA69" s="2">
        <f t="shared" si="87"/>
        <v>1</v>
      </c>
      <c r="AB69" s="9" t="s">
        <v>527</v>
      </c>
      <c r="AC69" s="9"/>
    </row>
    <row r="70" spans="1:29" ht="12.75">
      <c r="A70" s="9">
        <f t="shared" si="75"/>
        <v>190</v>
      </c>
      <c r="B70">
        <v>33</v>
      </c>
      <c r="C70" s="2">
        <f t="shared" si="73"/>
        <v>1.1640407494686946</v>
      </c>
      <c r="D70" s="2">
        <f t="shared" si="74"/>
        <v>0.07275254684179341</v>
      </c>
      <c r="E70" s="11" t="s">
        <v>1819</v>
      </c>
      <c r="F70" s="9">
        <v>33</v>
      </c>
      <c r="G70">
        <v>190</v>
      </c>
      <c r="H70">
        <v>16</v>
      </c>
      <c r="I70" s="10">
        <v>1.5</v>
      </c>
      <c r="J70">
        <v>0</v>
      </c>
      <c r="K70">
        <v>8</v>
      </c>
      <c r="L70">
        <v>0</v>
      </c>
      <c r="M70">
        <v>8</v>
      </c>
      <c r="N70">
        <v>1</v>
      </c>
      <c r="O70" s="10">
        <f t="shared" si="76"/>
        <v>5.757575757575758</v>
      </c>
      <c r="P70" s="9">
        <f t="shared" si="77"/>
        <v>16.842105263157894</v>
      </c>
      <c r="Q70" s="29">
        <f t="shared" si="78"/>
        <v>75.78947368421052</v>
      </c>
      <c r="R70" s="16">
        <f t="shared" si="79"/>
        <v>7.105263157894737</v>
      </c>
      <c r="S70" s="16">
        <f t="shared" si="80"/>
        <v>16.842105263157894</v>
      </c>
      <c r="T70" s="16">
        <f t="shared" si="81"/>
        <v>3.0303030303030303</v>
      </c>
      <c r="U70" s="44">
        <f t="shared" si="32"/>
        <v>1</v>
      </c>
      <c r="V70" s="9">
        <f t="shared" si="82"/>
        <v>8</v>
      </c>
      <c r="W70" s="9">
        <f t="shared" si="83"/>
        <v>16</v>
      </c>
      <c r="X70" s="9">
        <f t="shared" si="84"/>
        <v>8</v>
      </c>
      <c r="Y70" s="9">
        <f t="shared" si="85"/>
        <v>1</v>
      </c>
      <c r="Z70" s="9">
        <f t="shared" si="86"/>
        <v>0</v>
      </c>
      <c r="AA70" s="2">
        <f t="shared" si="87"/>
        <v>1.5</v>
      </c>
      <c r="AB70" s="9" t="s">
        <v>528</v>
      </c>
      <c r="AC70" s="9"/>
    </row>
    <row r="71" spans="1:29" ht="12.75">
      <c r="A71" s="9">
        <f>G71*U71</f>
        <v>130</v>
      </c>
      <c r="B71" s="9">
        <v>25</v>
      </c>
      <c r="C71" s="2">
        <f t="shared" si="73"/>
        <v>0.881849052627799</v>
      </c>
      <c r="D71" s="2">
        <f t="shared" si="74"/>
        <v>0.05511556578923744</v>
      </c>
      <c r="E71" s="11" t="s">
        <v>1571</v>
      </c>
      <c r="F71" s="9">
        <v>25</v>
      </c>
      <c r="G71">
        <v>130</v>
      </c>
      <c r="H71">
        <v>7</v>
      </c>
      <c r="I71" s="10">
        <v>2.5</v>
      </c>
      <c r="J71">
        <v>0.005</v>
      </c>
      <c r="K71">
        <v>16</v>
      </c>
      <c r="L71">
        <v>8</v>
      </c>
      <c r="M71">
        <v>1</v>
      </c>
      <c r="N71">
        <v>0.5</v>
      </c>
      <c r="O71" s="10">
        <f>G71/F71</f>
        <v>5.2</v>
      </c>
      <c r="P71" s="42">
        <f>100*4*M71/G71</f>
        <v>3.076923076923077</v>
      </c>
      <c r="Q71" s="16">
        <f>100*9*H71/G71</f>
        <v>48.46153846153846</v>
      </c>
      <c r="R71" s="42">
        <f>100*(I71*9)/G71</f>
        <v>17.307692307692307</v>
      </c>
      <c r="S71" s="16">
        <f>100*K71*4/G71</f>
        <v>49.23076923076923</v>
      </c>
      <c r="T71" s="42">
        <f>100*N71/F71</f>
        <v>2</v>
      </c>
      <c r="U71" s="44">
        <f>B71/F71</f>
        <v>1</v>
      </c>
      <c r="V71" s="16">
        <f>U71*M71</f>
        <v>1</v>
      </c>
      <c r="W71" s="9">
        <f>U71*H71</f>
        <v>7</v>
      </c>
      <c r="X71" s="9">
        <f>U71*K71</f>
        <v>16</v>
      </c>
      <c r="Y71" s="16">
        <f>N71*U71</f>
        <v>0.5</v>
      </c>
      <c r="Z71">
        <f>U71*J71</f>
        <v>0.005</v>
      </c>
      <c r="AA71" s="2">
        <f>I71*U71</f>
        <v>2.5</v>
      </c>
      <c r="AB71" s="9" t="s">
        <v>1572</v>
      </c>
      <c r="AC71" s="9"/>
    </row>
    <row r="72" spans="1:29" ht="12.75">
      <c r="A72" s="9">
        <f>G72*U72</f>
        <v>130</v>
      </c>
      <c r="B72" s="9">
        <v>25</v>
      </c>
      <c r="C72" s="2">
        <f t="shared" si="73"/>
        <v>0.881849052627799</v>
      </c>
      <c r="D72" s="2">
        <f t="shared" si="74"/>
        <v>0.05511556578923744</v>
      </c>
      <c r="E72" s="11" t="s">
        <v>2051</v>
      </c>
      <c r="F72" s="9">
        <v>25</v>
      </c>
      <c r="G72">
        <v>130</v>
      </c>
      <c r="H72">
        <v>7</v>
      </c>
      <c r="I72" s="10">
        <v>3.5</v>
      </c>
      <c r="J72">
        <v>4</v>
      </c>
      <c r="K72">
        <v>16</v>
      </c>
      <c r="L72">
        <v>8</v>
      </c>
      <c r="M72">
        <v>1</v>
      </c>
      <c r="N72">
        <v>0.5</v>
      </c>
      <c r="O72" s="10">
        <f>G72/F72</f>
        <v>5.2</v>
      </c>
      <c r="P72" s="42">
        <f>100*4*M72/G72</f>
        <v>3.076923076923077</v>
      </c>
      <c r="Q72" s="16">
        <f>100*9*H72/G72</f>
        <v>48.46153846153846</v>
      </c>
      <c r="R72" s="42">
        <f>100*(I72*9)/G72</f>
        <v>24.23076923076923</v>
      </c>
      <c r="S72" s="16">
        <f>100*K72*4/G72</f>
        <v>49.23076923076923</v>
      </c>
      <c r="T72" s="42">
        <f>100*N72/F72</f>
        <v>2</v>
      </c>
      <c r="U72" s="44">
        <f>B72/F72</f>
        <v>1</v>
      </c>
      <c r="V72" s="16">
        <f>U72*M72</f>
        <v>1</v>
      </c>
      <c r="W72" s="9">
        <f>U72*H72</f>
        <v>7</v>
      </c>
      <c r="X72" s="9">
        <f>U72*K72</f>
        <v>16</v>
      </c>
      <c r="Y72" s="16">
        <f>N72*U72</f>
        <v>0.5</v>
      </c>
      <c r="Z72">
        <f>U72*J72</f>
        <v>4</v>
      </c>
      <c r="AA72" s="2">
        <f>I72*U72</f>
        <v>3.5</v>
      </c>
      <c r="AB72" s="9" t="s">
        <v>1572</v>
      </c>
      <c r="AC72" s="9"/>
    </row>
    <row r="73" spans="1:29" ht="12.75">
      <c r="A73" s="9">
        <f>G73*U73</f>
        <v>170</v>
      </c>
      <c r="B73" s="9">
        <v>32</v>
      </c>
      <c r="C73" s="2">
        <f t="shared" si="73"/>
        <v>1.1287667873635827</v>
      </c>
      <c r="D73" s="2">
        <f t="shared" si="74"/>
        <v>0.07054792421022392</v>
      </c>
      <c r="E73" s="11" t="s">
        <v>860</v>
      </c>
      <c r="F73" s="9">
        <v>32</v>
      </c>
      <c r="G73">
        <v>170</v>
      </c>
      <c r="H73">
        <v>9</v>
      </c>
      <c r="I73" s="10">
        <v>4</v>
      </c>
      <c r="J73">
        <v>5</v>
      </c>
      <c r="K73">
        <v>20</v>
      </c>
      <c r="L73">
        <v>11</v>
      </c>
      <c r="M73">
        <v>2</v>
      </c>
      <c r="N73">
        <v>1</v>
      </c>
      <c r="O73" s="10">
        <f>G73/F73</f>
        <v>5.3125</v>
      </c>
      <c r="P73" s="42">
        <f>100*4*M73/G73</f>
        <v>4.705882352941177</v>
      </c>
      <c r="Q73" s="16">
        <f>100*9*H73/G73</f>
        <v>47.64705882352941</v>
      </c>
      <c r="R73" s="42">
        <f>100*(I73*9)/G73</f>
        <v>21.176470588235293</v>
      </c>
      <c r="S73" s="16">
        <f>100*K73*4/G73</f>
        <v>47.05882352941177</v>
      </c>
      <c r="T73" s="16">
        <f>100*N73/F73</f>
        <v>3.125</v>
      </c>
      <c r="U73" s="44">
        <f>B73/F73</f>
        <v>1</v>
      </c>
      <c r="V73" s="16">
        <f>U73*M73</f>
        <v>2</v>
      </c>
      <c r="W73" s="9">
        <f>U73*H73</f>
        <v>9</v>
      </c>
      <c r="X73" s="9">
        <f>U73*K73</f>
        <v>20</v>
      </c>
      <c r="Y73" s="16">
        <f>N73*U73</f>
        <v>1</v>
      </c>
      <c r="Z73">
        <f>U73*J73</f>
        <v>5</v>
      </c>
      <c r="AA73" s="2">
        <f>I73*U73</f>
        <v>4</v>
      </c>
      <c r="AB73" s="9" t="s">
        <v>1572</v>
      </c>
      <c r="AC73" s="9"/>
    </row>
    <row r="74" spans="1:29" ht="12.75">
      <c r="A74" s="9">
        <f t="shared" si="75"/>
        <v>100</v>
      </c>
      <c r="B74" s="9">
        <v>25</v>
      </c>
      <c r="C74" s="2">
        <f t="shared" si="73"/>
        <v>0.881849052627799</v>
      </c>
      <c r="D74" s="2">
        <f t="shared" si="74"/>
        <v>0.05511556578923744</v>
      </c>
      <c r="E74" s="11" t="s">
        <v>1314</v>
      </c>
      <c r="F74" s="9">
        <v>25</v>
      </c>
      <c r="G74">
        <v>100</v>
      </c>
      <c r="H74">
        <v>3</v>
      </c>
      <c r="I74" s="10">
        <v>1.5</v>
      </c>
      <c r="J74">
        <v>5</v>
      </c>
      <c r="K74">
        <v>17</v>
      </c>
      <c r="L74">
        <v>14</v>
      </c>
      <c r="M74">
        <v>1</v>
      </c>
      <c r="N74">
        <v>0.5</v>
      </c>
      <c r="O74" s="10">
        <f t="shared" si="76"/>
        <v>4</v>
      </c>
      <c r="P74" s="42">
        <f t="shared" si="77"/>
        <v>4</v>
      </c>
      <c r="Q74" s="16">
        <f t="shared" si="78"/>
        <v>27</v>
      </c>
      <c r="R74" s="16">
        <f t="shared" si="79"/>
        <v>13.5</v>
      </c>
      <c r="S74" s="16">
        <f t="shared" si="80"/>
        <v>68</v>
      </c>
      <c r="T74" s="42">
        <f t="shared" si="81"/>
        <v>2</v>
      </c>
      <c r="U74" s="44">
        <f t="shared" si="32"/>
        <v>1</v>
      </c>
      <c r="V74" s="16">
        <f t="shared" si="82"/>
        <v>1</v>
      </c>
      <c r="W74" s="9">
        <f t="shared" si="83"/>
        <v>3</v>
      </c>
      <c r="X74" s="9">
        <f t="shared" si="84"/>
        <v>17</v>
      </c>
      <c r="Y74" s="16">
        <f t="shared" si="85"/>
        <v>0.5</v>
      </c>
      <c r="Z74">
        <f t="shared" si="86"/>
        <v>5</v>
      </c>
      <c r="AA74" s="2">
        <f t="shared" si="87"/>
        <v>1.5</v>
      </c>
      <c r="AB74" s="9" t="s">
        <v>1572</v>
      </c>
      <c r="AC74" s="9"/>
    </row>
    <row r="75" spans="1:29" ht="12.75">
      <c r="A75">
        <f t="shared" si="75"/>
        <v>170</v>
      </c>
      <c r="B75">
        <v>28</v>
      </c>
      <c r="C75" s="2">
        <f t="shared" si="73"/>
        <v>0.987670938943135</v>
      </c>
      <c r="D75" s="2">
        <f t="shared" si="74"/>
        <v>0.061729433683945935</v>
      </c>
      <c r="E75" s="11" t="s">
        <v>1845</v>
      </c>
      <c r="F75" s="9">
        <v>28</v>
      </c>
      <c r="G75">
        <v>170</v>
      </c>
      <c r="H75">
        <v>13</v>
      </c>
      <c r="I75" s="2">
        <v>3</v>
      </c>
      <c r="J75">
        <v>0</v>
      </c>
      <c r="K75">
        <v>9</v>
      </c>
      <c r="L75">
        <v>2</v>
      </c>
      <c r="M75">
        <v>5</v>
      </c>
      <c r="N75">
        <v>1</v>
      </c>
      <c r="O75" s="32">
        <f aca="true" t="shared" si="88" ref="O75:O83">G75/F75</f>
        <v>6.071428571428571</v>
      </c>
      <c r="P75" s="9">
        <f aca="true" t="shared" si="89" ref="P75:P83">100*4*M75/G75</f>
        <v>11.764705882352942</v>
      </c>
      <c r="Q75" s="9">
        <f aca="true" t="shared" si="90" ref="Q75:Q83">100*9*H75/G75</f>
        <v>68.82352941176471</v>
      </c>
      <c r="R75" s="42">
        <f aca="true" t="shared" si="91" ref="R75:R83">100*(I75*9)/G75</f>
        <v>15.882352941176471</v>
      </c>
      <c r="S75" s="16">
        <f aca="true" t="shared" si="92" ref="S75:S83">100*K75*4/G75</f>
        <v>21.176470588235293</v>
      </c>
      <c r="T75" s="9">
        <f aca="true" t="shared" si="93" ref="T75:T83">100*N75/F75</f>
        <v>3.5714285714285716</v>
      </c>
      <c r="U75" s="44">
        <f t="shared" si="32"/>
        <v>1</v>
      </c>
      <c r="V75" s="9">
        <f aca="true" t="shared" si="94" ref="V75:V83">U75*M75</f>
        <v>5</v>
      </c>
      <c r="W75" s="9">
        <f aca="true" t="shared" si="95" ref="W75:W83">U75*H75</f>
        <v>13</v>
      </c>
      <c r="X75" s="9">
        <f aca="true" t="shared" si="96" ref="X75:X83">U75*K75</f>
        <v>9</v>
      </c>
      <c r="Y75" s="9">
        <f aca="true" t="shared" si="97" ref="Y75:Y83">N75*U75</f>
        <v>1</v>
      </c>
      <c r="Z75">
        <f aca="true" t="shared" si="98" ref="Z75:Z83">U75*J75</f>
        <v>0</v>
      </c>
      <c r="AA75" s="2">
        <f t="shared" si="87"/>
        <v>3</v>
      </c>
      <c r="AB75" s="9" t="s">
        <v>528</v>
      </c>
      <c r="AC75" s="9"/>
    </row>
    <row r="76" spans="1:29" ht="12.75">
      <c r="A76" s="9">
        <f aca="true" t="shared" si="99" ref="A76:A84">G76*U76</f>
        <v>180</v>
      </c>
      <c r="B76">
        <v>30</v>
      </c>
      <c r="C76" s="2">
        <f aca="true" t="shared" si="100" ref="C76:C85">B76/28.349523</f>
        <v>1.058218863153359</v>
      </c>
      <c r="D76" s="2">
        <f aca="true" t="shared" si="101" ref="D76:D85">C76/16</f>
        <v>0.06613867894708493</v>
      </c>
      <c r="E76" s="11" t="s">
        <v>564</v>
      </c>
      <c r="F76" s="9">
        <v>30</v>
      </c>
      <c r="G76">
        <v>180</v>
      </c>
      <c r="H76">
        <v>13</v>
      </c>
      <c r="I76" s="10">
        <v>1.5</v>
      </c>
      <c r="J76">
        <v>0</v>
      </c>
      <c r="K76">
        <v>9</v>
      </c>
      <c r="L76">
        <v>2</v>
      </c>
      <c r="M76">
        <v>6</v>
      </c>
      <c r="N76">
        <v>3</v>
      </c>
      <c r="O76" s="32">
        <f t="shared" si="88"/>
        <v>6</v>
      </c>
      <c r="P76" s="9">
        <f t="shared" si="89"/>
        <v>13.333333333333334</v>
      </c>
      <c r="Q76" s="16">
        <f t="shared" si="90"/>
        <v>65</v>
      </c>
      <c r="R76" s="16">
        <f t="shared" si="91"/>
        <v>7.5</v>
      </c>
      <c r="S76" s="16">
        <f t="shared" si="92"/>
        <v>20</v>
      </c>
      <c r="T76" s="29">
        <f t="shared" si="93"/>
        <v>10</v>
      </c>
      <c r="U76" s="44">
        <f t="shared" si="32"/>
        <v>1</v>
      </c>
      <c r="V76" s="9">
        <f t="shared" si="94"/>
        <v>6</v>
      </c>
      <c r="W76" s="9">
        <f t="shared" si="95"/>
        <v>13</v>
      </c>
      <c r="X76" s="9">
        <f t="shared" si="96"/>
        <v>9</v>
      </c>
      <c r="Y76" s="9">
        <f t="shared" si="97"/>
        <v>3</v>
      </c>
      <c r="Z76" s="9">
        <f t="shared" si="98"/>
        <v>0</v>
      </c>
      <c r="AA76" s="2">
        <f aca="true" t="shared" si="102" ref="AA76:AA83">I76*U76</f>
        <v>1.5</v>
      </c>
      <c r="AB76" s="9" t="s">
        <v>570</v>
      </c>
      <c r="AC76" s="9"/>
    </row>
    <row r="77" spans="1:29" ht="12.75">
      <c r="A77" s="9">
        <f>G77*U77</f>
        <v>190</v>
      </c>
      <c r="B77">
        <v>30</v>
      </c>
      <c r="C77" s="2">
        <f t="shared" si="100"/>
        <v>1.058218863153359</v>
      </c>
      <c r="D77" s="2">
        <f t="shared" si="101"/>
        <v>0.06613867894708493</v>
      </c>
      <c r="E77" s="11" t="s">
        <v>1848</v>
      </c>
      <c r="F77" s="9">
        <v>30</v>
      </c>
      <c r="G77">
        <v>190</v>
      </c>
      <c r="H77">
        <v>15</v>
      </c>
      <c r="I77" s="10">
        <v>4</v>
      </c>
      <c r="J77">
        <v>0</v>
      </c>
      <c r="K77">
        <v>9</v>
      </c>
      <c r="L77">
        <v>1</v>
      </c>
      <c r="M77">
        <v>4</v>
      </c>
      <c r="N77">
        <v>4</v>
      </c>
      <c r="O77" s="32">
        <f t="shared" si="88"/>
        <v>6.333333333333333</v>
      </c>
      <c r="P77" s="42">
        <f t="shared" si="89"/>
        <v>8.421052631578947</v>
      </c>
      <c r="Q77" s="29">
        <f t="shared" si="90"/>
        <v>71.05263157894737</v>
      </c>
      <c r="R77" s="42">
        <f t="shared" si="91"/>
        <v>18.94736842105263</v>
      </c>
      <c r="S77" s="16">
        <f t="shared" si="92"/>
        <v>18.94736842105263</v>
      </c>
      <c r="T77" s="29">
        <f t="shared" si="93"/>
        <v>13.333333333333334</v>
      </c>
      <c r="U77" s="44">
        <f t="shared" si="32"/>
        <v>1</v>
      </c>
      <c r="V77" s="9">
        <f t="shared" si="94"/>
        <v>4</v>
      </c>
      <c r="W77" s="9">
        <f t="shared" si="95"/>
        <v>15</v>
      </c>
      <c r="X77" s="9">
        <f t="shared" si="96"/>
        <v>9</v>
      </c>
      <c r="Y77" s="9">
        <f t="shared" si="97"/>
        <v>4</v>
      </c>
      <c r="Z77">
        <f t="shared" si="98"/>
        <v>0</v>
      </c>
      <c r="AA77" s="2">
        <f t="shared" si="102"/>
        <v>4</v>
      </c>
      <c r="AB77" s="9" t="s">
        <v>1593</v>
      </c>
      <c r="AC77" s="9"/>
    </row>
    <row r="78" spans="1:29" ht="12.75">
      <c r="A78" s="9">
        <f t="shared" si="99"/>
        <v>222</v>
      </c>
      <c r="B78">
        <v>30</v>
      </c>
      <c r="C78" s="2">
        <f t="shared" si="100"/>
        <v>1.058218863153359</v>
      </c>
      <c r="D78" s="2">
        <f t="shared" si="101"/>
        <v>0.06613867894708493</v>
      </c>
      <c r="E78" s="11" t="s">
        <v>1939</v>
      </c>
      <c r="F78" s="9">
        <v>30</v>
      </c>
      <c r="G78">
        <v>222</v>
      </c>
      <c r="H78">
        <v>21</v>
      </c>
      <c r="I78" s="10">
        <v>2</v>
      </c>
      <c r="J78">
        <v>0</v>
      </c>
      <c r="K78">
        <v>3</v>
      </c>
      <c r="L78">
        <v>1</v>
      </c>
      <c r="M78">
        <v>4</v>
      </c>
      <c r="N78">
        <v>2</v>
      </c>
      <c r="O78" s="32">
        <f t="shared" si="88"/>
        <v>7.4</v>
      </c>
      <c r="P78" s="42">
        <f t="shared" si="89"/>
        <v>7.207207207207207</v>
      </c>
      <c r="Q78" s="29">
        <f t="shared" si="90"/>
        <v>85.13513513513513</v>
      </c>
      <c r="R78" s="16">
        <f t="shared" si="91"/>
        <v>8.108108108108109</v>
      </c>
      <c r="S78" s="16">
        <f t="shared" si="92"/>
        <v>5.405405405405405</v>
      </c>
      <c r="T78" s="9">
        <f t="shared" si="93"/>
        <v>6.666666666666667</v>
      </c>
      <c r="U78" s="44">
        <f t="shared" si="32"/>
        <v>1</v>
      </c>
      <c r="V78" s="9">
        <f t="shared" si="94"/>
        <v>4</v>
      </c>
      <c r="W78" s="9">
        <f t="shared" si="95"/>
        <v>21</v>
      </c>
      <c r="X78" s="9">
        <f t="shared" si="96"/>
        <v>3</v>
      </c>
      <c r="Y78" s="9">
        <f t="shared" si="97"/>
        <v>2</v>
      </c>
      <c r="Z78">
        <f t="shared" si="98"/>
        <v>0</v>
      </c>
      <c r="AA78" s="2">
        <f t="shared" si="102"/>
        <v>2</v>
      </c>
      <c r="AB78" s="9" t="s">
        <v>1593</v>
      </c>
      <c r="AC78" s="9"/>
    </row>
    <row r="79" spans="1:29" ht="12.75">
      <c r="A79" s="9">
        <f>G79*U79</f>
        <v>180</v>
      </c>
      <c r="B79">
        <v>30</v>
      </c>
      <c r="C79" s="2">
        <f>B79/28.349523</f>
        <v>1.058218863153359</v>
      </c>
      <c r="D79" s="2">
        <f>C79/16</f>
        <v>0.06613867894708493</v>
      </c>
      <c r="E79" s="11" t="s">
        <v>1836</v>
      </c>
      <c r="F79" s="9">
        <v>30</v>
      </c>
      <c r="G79">
        <v>180</v>
      </c>
      <c r="H79">
        <v>14</v>
      </c>
      <c r="I79" s="10">
        <v>3</v>
      </c>
      <c r="J79">
        <v>0</v>
      </c>
      <c r="K79">
        <v>9</v>
      </c>
      <c r="L79">
        <v>1</v>
      </c>
      <c r="M79">
        <v>5</v>
      </c>
      <c r="N79">
        <v>2</v>
      </c>
      <c r="O79" s="32">
        <f>G79/F79</f>
        <v>6</v>
      </c>
      <c r="P79" s="9">
        <f>100*4*M79/G79</f>
        <v>11.11111111111111</v>
      </c>
      <c r="Q79" s="29">
        <f>100*9*H79/G79</f>
        <v>70</v>
      </c>
      <c r="R79" s="42">
        <f>100*(I79*9)/G79</f>
        <v>15</v>
      </c>
      <c r="S79" s="16">
        <f>100*K79*4/G79</f>
        <v>20</v>
      </c>
      <c r="T79" s="9">
        <f>100*N79/F79</f>
        <v>6.666666666666667</v>
      </c>
      <c r="U79" s="44">
        <f>B79/F79</f>
        <v>1</v>
      </c>
      <c r="V79" s="9">
        <f>U79*M79</f>
        <v>5</v>
      </c>
      <c r="W79" s="9">
        <f>U79*H79</f>
        <v>14</v>
      </c>
      <c r="X79" s="9">
        <f>U79*K79</f>
        <v>9</v>
      </c>
      <c r="Y79" s="9">
        <f>N79*U79</f>
        <v>2</v>
      </c>
      <c r="Z79">
        <f>U79*J79</f>
        <v>0</v>
      </c>
      <c r="AA79" s="2">
        <f>I79*U79</f>
        <v>3</v>
      </c>
      <c r="AB79" t="s">
        <v>556</v>
      </c>
      <c r="AC79" s="9"/>
    </row>
    <row r="80" spans="1:28" ht="12.75">
      <c r="A80" s="9">
        <f>G80*U80</f>
        <v>240</v>
      </c>
      <c r="B80" s="12">
        <v>31</v>
      </c>
      <c r="C80" s="2">
        <f t="shared" si="100"/>
        <v>1.0934928252584708</v>
      </c>
      <c r="D80" s="2">
        <f t="shared" si="101"/>
        <v>0.06834330157865443</v>
      </c>
      <c r="E80" s="11" t="s">
        <v>539</v>
      </c>
      <c r="F80" s="9">
        <v>31</v>
      </c>
      <c r="G80">
        <v>240</v>
      </c>
      <c r="H80">
        <v>23</v>
      </c>
      <c r="I80" s="10">
        <v>3.5</v>
      </c>
      <c r="J80">
        <v>0</v>
      </c>
      <c r="K80">
        <v>4</v>
      </c>
      <c r="L80">
        <v>1</v>
      </c>
      <c r="M80">
        <v>2</v>
      </c>
      <c r="N80">
        <v>2</v>
      </c>
      <c r="O80" s="32">
        <f t="shared" si="88"/>
        <v>7.741935483870968</v>
      </c>
      <c r="P80" s="42">
        <f t="shared" si="89"/>
        <v>3.3333333333333335</v>
      </c>
      <c r="Q80" s="29">
        <f t="shared" si="90"/>
        <v>86.25</v>
      </c>
      <c r="R80" s="16">
        <f t="shared" si="91"/>
        <v>13.125</v>
      </c>
      <c r="S80" s="16">
        <f t="shared" si="92"/>
        <v>6.666666666666667</v>
      </c>
      <c r="T80" s="9">
        <f t="shared" si="93"/>
        <v>6.451612903225806</v>
      </c>
      <c r="U80" s="44">
        <f t="shared" si="32"/>
        <v>1</v>
      </c>
      <c r="V80" s="9">
        <f t="shared" si="94"/>
        <v>2</v>
      </c>
      <c r="W80" s="9">
        <f t="shared" si="95"/>
        <v>23</v>
      </c>
      <c r="X80" s="9">
        <f t="shared" si="96"/>
        <v>4</v>
      </c>
      <c r="Y80" s="9">
        <f t="shared" si="97"/>
        <v>2</v>
      </c>
      <c r="Z80">
        <f t="shared" si="98"/>
        <v>0</v>
      </c>
      <c r="AA80" s="2">
        <f t="shared" si="102"/>
        <v>3.5</v>
      </c>
      <c r="AB80" t="s">
        <v>1594</v>
      </c>
    </row>
    <row r="81" spans="1:28" ht="12.75">
      <c r="A81" s="9">
        <f t="shared" si="99"/>
        <v>200</v>
      </c>
      <c r="B81" s="12">
        <v>28</v>
      </c>
      <c r="C81" s="2">
        <f t="shared" si="100"/>
        <v>0.987670938943135</v>
      </c>
      <c r="D81" s="2">
        <f t="shared" si="101"/>
        <v>0.061729433683945935</v>
      </c>
      <c r="E81" s="11" t="s">
        <v>1849</v>
      </c>
      <c r="F81" s="9">
        <v>28</v>
      </c>
      <c r="G81">
        <v>200</v>
      </c>
      <c r="H81">
        <v>21</v>
      </c>
      <c r="I81" s="10">
        <v>3.5</v>
      </c>
      <c r="J81">
        <v>0</v>
      </c>
      <c r="K81">
        <v>4</v>
      </c>
      <c r="L81">
        <v>1</v>
      </c>
      <c r="M81">
        <v>2</v>
      </c>
      <c r="N81">
        <v>2</v>
      </c>
      <c r="O81" s="32">
        <f t="shared" si="88"/>
        <v>7.142857142857143</v>
      </c>
      <c r="P81" s="42">
        <f t="shared" si="89"/>
        <v>4</v>
      </c>
      <c r="Q81" s="29">
        <f t="shared" si="90"/>
        <v>94.5</v>
      </c>
      <c r="R81" s="16">
        <f t="shared" si="91"/>
        <v>15.75</v>
      </c>
      <c r="S81" s="16">
        <f t="shared" si="92"/>
        <v>8</v>
      </c>
      <c r="T81" s="9">
        <f t="shared" si="93"/>
        <v>7.142857142857143</v>
      </c>
      <c r="U81" s="44">
        <f t="shared" si="32"/>
        <v>1</v>
      </c>
      <c r="V81" s="9">
        <f t="shared" si="94"/>
        <v>2</v>
      </c>
      <c r="W81" s="9">
        <f t="shared" si="95"/>
        <v>21</v>
      </c>
      <c r="X81" s="9">
        <f t="shared" si="96"/>
        <v>4</v>
      </c>
      <c r="Y81" s="9">
        <f t="shared" si="97"/>
        <v>2</v>
      </c>
      <c r="Z81">
        <f t="shared" si="98"/>
        <v>0</v>
      </c>
      <c r="AA81" s="2">
        <f t="shared" si="102"/>
        <v>3.5</v>
      </c>
      <c r="AB81" t="s">
        <v>1594</v>
      </c>
    </row>
    <row r="82" spans="1:29" ht="12.75">
      <c r="A82" s="9">
        <f>G82*U82</f>
        <v>200</v>
      </c>
      <c r="B82">
        <v>28</v>
      </c>
      <c r="C82" s="2">
        <f t="shared" si="100"/>
        <v>0.987670938943135</v>
      </c>
      <c r="D82" s="2">
        <f t="shared" si="101"/>
        <v>0.061729433683945935</v>
      </c>
      <c r="E82" s="11" t="s">
        <v>1942</v>
      </c>
      <c r="F82" s="9">
        <v>28</v>
      </c>
      <c r="G82">
        <v>200</v>
      </c>
      <c r="H82">
        <v>20</v>
      </c>
      <c r="I82" s="10">
        <v>2</v>
      </c>
      <c r="J82">
        <v>0</v>
      </c>
      <c r="K82">
        <v>4</v>
      </c>
      <c r="L82">
        <v>1</v>
      </c>
      <c r="M82">
        <v>3</v>
      </c>
      <c r="N82">
        <v>2</v>
      </c>
      <c r="O82" s="32">
        <f>G82/F82</f>
        <v>7.142857142857143</v>
      </c>
      <c r="P82" s="42">
        <f>100*4*M82/G82</f>
        <v>6</v>
      </c>
      <c r="Q82" s="29">
        <f>100*9*H82/G82</f>
        <v>90</v>
      </c>
      <c r="R82" s="16">
        <f>100*(I82*9)/G82</f>
        <v>9</v>
      </c>
      <c r="S82" s="16">
        <f>100*K82*4/G82</f>
        <v>8</v>
      </c>
      <c r="T82" s="9">
        <f>100*N82/F82</f>
        <v>7.142857142857143</v>
      </c>
      <c r="U82" s="44">
        <f>B82/F82</f>
        <v>1</v>
      </c>
      <c r="V82" s="9">
        <f>U82*M82</f>
        <v>3</v>
      </c>
      <c r="W82" s="9">
        <f>U82*H82</f>
        <v>20</v>
      </c>
      <c r="X82" s="9">
        <f>U82*K82</f>
        <v>4</v>
      </c>
      <c r="Y82" s="9">
        <f>N82*U82</f>
        <v>2</v>
      </c>
      <c r="Z82">
        <f>U82*J82</f>
        <v>0</v>
      </c>
      <c r="AA82" s="2">
        <f>I82*U82</f>
        <v>2</v>
      </c>
      <c r="AB82" s="9" t="s">
        <v>1595</v>
      </c>
      <c r="AC82" s="9"/>
    </row>
    <row r="83" spans="1:29" ht="12.75">
      <c r="A83" s="9">
        <f t="shared" si="99"/>
        <v>190</v>
      </c>
      <c r="B83">
        <v>28</v>
      </c>
      <c r="C83" s="2">
        <f t="shared" si="100"/>
        <v>0.987670938943135</v>
      </c>
      <c r="D83" s="2">
        <f t="shared" si="101"/>
        <v>0.061729433683945935</v>
      </c>
      <c r="E83" s="11" t="s">
        <v>1293</v>
      </c>
      <c r="F83" s="9">
        <v>28</v>
      </c>
      <c r="G83">
        <v>190</v>
      </c>
      <c r="H83">
        <v>19</v>
      </c>
      <c r="I83" s="10">
        <v>1.5</v>
      </c>
      <c r="J83">
        <v>0</v>
      </c>
      <c r="K83">
        <v>5</v>
      </c>
      <c r="L83">
        <v>1</v>
      </c>
      <c r="M83">
        <v>2</v>
      </c>
      <c r="N83">
        <v>2</v>
      </c>
      <c r="O83" s="32">
        <f t="shared" si="88"/>
        <v>6.785714285714286</v>
      </c>
      <c r="P83" s="42">
        <f t="shared" si="89"/>
        <v>4.2105263157894735</v>
      </c>
      <c r="Q83" s="29">
        <f t="shared" si="90"/>
        <v>90</v>
      </c>
      <c r="R83" s="16">
        <f t="shared" si="91"/>
        <v>7.105263157894737</v>
      </c>
      <c r="S83" s="16">
        <f t="shared" si="92"/>
        <v>10.526315789473685</v>
      </c>
      <c r="T83" s="9">
        <f t="shared" si="93"/>
        <v>7.142857142857143</v>
      </c>
      <c r="U83" s="44">
        <f t="shared" si="32"/>
        <v>1</v>
      </c>
      <c r="V83" s="9">
        <f t="shared" si="94"/>
        <v>2</v>
      </c>
      <c r="W83" s="9">
        <f t="shared" si="95"/>
        <v>19</v>
      </c>
      <c r="X83" s="9">
        <f t="shared" si="96"/>
        <v>5</v>
      </c>
      <c r="Y83" s="9">
        <f t="shared" si="97"/>
        <v>2</v>
      </c>
      <c r="Z83">
        <f t="shared" si="98"/>
        <v>0</v>
      </c>
      <c r="AA83" s="2">
        <f t="shared" si="102"/>
        <v>1.5</v>
      </c>
      <c r="AB83" s="9" t="s">
        <v>1595</v>
      </c>
      <c r="AC83" s="9"/>
    </row>
    <row r="84" spans="1:29" ht="12.75">
      <c r="A84" s="9">
        <f t="shared" si="99"/>
        <v>0</v>
      </c>
      <c r="B84">
        <v>0</v>
      </c>
      <c r="C84" s="2">
        <f t="shared" si="100"/>
        <v>0</v>
      </c>
      <c r="D84" s="2">
        <f t="shared" si="101"/>
        <v>0</v>
      </c>
      <c r="E84" s="11" t="s">
        <v>1541</v>
      </c>
      <c r="F84" s="9"/>
      <c r="I84" s="10"/>
      <c r="O84" s="32">
        <v>6.3</v>
      </c>
      <c r="P84" s="9"/>
      <c r="Q84" s="9"/>
      <c r="R84" s="16"/>
      <c r="S84" s="16"/>
      <c r="T84" s="9"/>
      <c r="U84" s="44"/>
      <c r="V84" s="9"/>
      <c r="W84" s="9"/>
      <c r="X84" s="9"/>
      <c r="Y84" s="9"/>
      <c r="Z84" s="9"/>
      <c r="AA84" s="2"/>
      <c r="AB84" s="9" t="s">
        <v>528</v>
      </c>
      <c r="AC84" s="9"/>
    </row>
    <row r="85" spans="1:28" ht="12.75">
      <c r="A85" s="9">
        <f>G85*U85</f>
        <v>140</v>
      </c>
      <c r="B85" s="12">
        <v>40</v>
      </c>
      <c r="C85" s="2">
        <f t="shared" si="100"/>
        <v>1.4109584842044784</v>
      </c>
      <c r="D85" s="2">
        <f t="shared" si="101"/>
        <v>0.0881849052627799</v>
      </c>
      <c r="E85" s="11" t="s">
        <v>1843</v>
      </c>
      <c r="F85" s="9">
        <v>40</v>
      </c>
      <c r="G85">
        <v>140</v>
      </c>
      <c r="H85">
        <v>0</v>
      </c>
      <c r="I85" s="10">
        <v>0</v>
      </c>
      <c r="J85" s="6">
        <v>0</v>
      </c>
      <c r="K85" s="6">
        <v>35</v>
      </c>
      <c r="L85" s="6">
        <v>30</v>
      </c>
      <c r="M85" s="6">
        <v>0</v>
      </c>
      <c r="N85" s="6">
        <v>2</v>
      </c>
      <c r="O85" s="44">
        <f>G85/F85</f>
        <v>3.5</v>
      </c>
      <c r="P85" s="42">
        <f>100*4*(M85/G85)</f>
        <v>0</v>
      </c>
      <c r="Q85" s="42">
        <f>100*9*H85/G85</f>
        <v>0</v>
      </c>
      <c r="R85" s="29">
        <f>100*(I85*9)/G85</f>
        <v>0</v>
      </c>
      <c r="S85" s="46">
        <f>100*K85*4/G85</f>
        <v>100</v>
      </c>
      <c r="T85" s="35">
        <f>100*N85/F85</f>
        <v>5</v>
      </c>
      <c r="U85" s="44">
        <f t="shared" si="32"/>
        <v>1</v>
      </c>
      <c r="V85" s="35">
        <f>U85*M85</f>
        <v>0</v>
      </c>
      <c r="W85" s="35">
        <f>U85*H85</f>
        <v>0</v>
      </c>
      <c r="X85" s="35">
        <f>U85*K85</f>
        <v>35</v>
      </c>
      <c r="Y85" s="35">
        <f>N85*U85</f>
        <v>2</v>
      </c>
      <c r="Z85" s="34">
        <f>U85*J85</f>
        <v>0</v>
      </c>
      <c r="AA85" s="44">
        <f>I85*U85</f>
        <v>0</v>
      </c>
      <c r="AB85" s="9" t="s">
        <v>1844</v>
      </c>
    </row>
    <row r="86" spans="15:21" ht="12.75">
      <c r="O86" s="2">
        <f>AVERAGE(O9:O85)</f>
        <v>4.453386435727181</v>
      </c>
      <c r="P86" t="s">
        <v>445</v>
      </c>
      <c r="U86" s="44"/>
    </row>
    <row r="87" spans="1:21" ht="12.75">
      <c r="A87" t="s">
        <v>1420</v>
      </c>
      <c r="U87" s="44"/>
    </row>
    <row r="88" spans="1:21" ht="12.75">
      <c r="A88" t="s">
        <v>1419</v>
      </c>
      <c r="U88" s="44"/>
    </row>
    <row r="89" spans="1:29" ht="12.75">
      <c r="A89" s="9">
        <f>G89*U89</f>
        <v>200</v>
      </c>
      <c r="B89">
        <v>50</v>
      </c>
      <c r="C89" s="2">
        <f>B89/28.349523</f>
        <v>1.763698105255598</v>
      </c>
      <c r="D89" s="2">
        <f>C89/16</f>
        <v>0.11023113157847488</v>
      </c>
      <c r="E89" s="11" t="s">
        <v>1394</v>
      </c>
      <c r="F89" s="9">
        <v>50</v>
      </c>
      <c r="G89">
        <v>200</v>
      </c>
      <c r="H89">
        <v>6</v>
      </c>
      <c r="I89" s="6">
        <v>1</v>
      </c>
      <c r="J89" s="6">
        <v>5</v>
      </c>
      <c r="K89" s="6">
        <v>21</v>
      </c>
      <c r="L89" s="6">
        <v>12</v>
      </c>
      <c r="M89" s="6">
        <v>15</v>
      </c>
      <c r="N89" s="6">
        <v>3</v>
      </c>
      <c r="O89" s="2">
        <f>G89/F89</f>
        <v>4</v>
      </c>
      <c r="P89" s="29">
        <f>100*4*M89/G89</f>
        <v>30</v>
      </c>
      <c r="Q89" s="9">
        <f>100*9*H89/G89</f>
        <v>27</v>
      </c>
      <c r="R89" s="29">
        <f>100*(I89*9)/G89</f>
        <v>4.5</v>
      </c>
      <c r="S89" s="16">
        <f>100*K89*4/G89</f>
        <v>42</v>
      </c>
      <c r="T89" s="9">
        <f>100*N89/F89</f>
        <v>6</v>
      </c>
      <c r="U89" s="44">
        <f t="shared" si="32"/>
        <v>1</v>
      </c>
      <c r="V89" s="16">
        <f>U89*M89</f>
        <v>15</v>
      </c>
      <c r="W89" s="9">
        <f>U89*H89</f>
        <v>6</v>
      </c>
      <c r="X89" s="9">
        <f>U89*K89</f>
        <v>21</v>
      </c>
      <c r="Y89" s="9">
        <f>N89*U89</f>
        <v>3</v>
      </c>
      <c r="Z89">
        <f>U89*J89</f>
        <v>5</v>
      </c>
      <c r="AA89" s="2">
        <f>I89*U89</f>
        <v>1</v>
      </c>
      <c r="AB89" t="s">
        <v>1396</v>
      </c>
      <c r="AC89" s="9"/>
    </row>
    <row r="90" spans="1:28" ht="12.75">
      <c r="A90" s="9">
        <f>G90*U90</f>
        <v>280</v>
      </c>
      <c r="B90">
        <v>78</v>
      </c>
      <c r="C90" s="2">
        <f>B90/28.349523</f>
        <v>2.751369044198733</v>
      </c>
      <c r="D90" s="2">
        <f>C90/16</f>
        <v>0.17196056526242082</v>
      </c>
      <c r="E90" t="s">
        <v>1397</v>
      </c>
      <c r="F90">
        <v>78</v>
      </c>
      <c r="G90">
        <v>280</v>
      </c>
      <c r="H90">
        <v>5</v>
      </c>
      <c r="I90">
        <v>3</v>
      </c>
      <c r="J90">
        <v>0</v>
      </c>
      <c r="K90">
        <v>49</v>
      </c>
      <c r="L90">
        <v>33</v>
      </c>
      <c r="M90">
        <v>13</v>
      </c>
      <c r="N90">
        <v>6</v>
      </c>
      <c r="O90" s="2">
        <f>G90/F90</f>
        <v>3.58974358974359</v>
      </c>
      <c r="P90" s="16">
        <f>100*4*M90/G90</f>
        <v>18.571428571428573</v>
      </c>
      <c r="Q90" s="9">
        <f>100*9*H90/G90</f>
        <v>16.071428571428573</v>
      </c>
      <c r="R90" s="16">
        <f>100*(I90*9)/G90</f>
        <v>9.642857142857142</v>
      </c>
      <c r="S90" s="29">
        <f>100*K90*4/G90</f>
        <v>70</v>
      </c>
      <c r="T90" s="9">
        <f>100*N90/F90</f>
        <v>7.6923076923076925</v>
      </c>
      <c r="U90" s="44">
        <f t="shared" si="32"/>
        <v>1</v>
      </c>
      <c r="V90" s="16">
        <f>U90*M90</f>
        <v>13</v>
      </c>
      <c r="W90" s="9">
        <f>U90*H90</f>
        <v>5</v>
      </c>
      <c r="X90" s="9">
        <f>U90*K90</f>
        <v>49</v>
      </c>
      <c r="Y90" s="9">
        <f>N90*U90</f>
        <v>6</v>
      </c>
      <c r="Z90">
        <f>U90*J90</f>
        <v>0</v>
      </c>
      <c r="AA90" s="2">
        <f>I90*U90</f>
        <v>3</v>
      </c>
      <c r="AB90" t="s">
        <v>1458</v>
      </c>
    </row>
    <row r="91" spans="1:28" ht="12.75">
      <c r="A91" s="9">
        <f>G91*U91</f>
        <v>210</v>
      </c>
      <c r="B91">
        <v>50</v>
      </c>
      <c r="C91" s="2">
        <f>B91/28.349523</f>
        <v>1.763698105255598</v>
      </c>
      <c r="D91" s="2">
        <f>C91/16</f>
        <v>0.11023113157847488</v>
      </c>
      <c r="E91" t="s">
        <v>1466</v>
      </c>
      <c r="F91">
        <v>50</v>
      </c>
      <c r="G91">
        <v>210</v>
      </c>
      <c r="H91">
        <v>7</v>
      </c>
      <c r="I91">
        <v>3.5</v>
      </c>
      <c r="J91">
        <v>0</v>
      </c>
      <c r="K91">
        <v>23</v>
      </c>
      <c r="L91">
        <v>11</v>
      </c>
      <c r="M91">
        <v>14</v>
      </c>
      <c r="N91">
        <v>1</v>
      </c>
      <c r="O91" s="2">
        <f>G91/F91</f>
        <v>4.2</v>
      </c>
      <c r="P91" s="16">
        <f>100*4*M91/G91</f>
        <v>26.666666666666668</v>
      </c>
      <c r="Q91" s="9">
        <f>100*9*H91/G91</f>
        <v>30</v>
      </c>
      <c r="R91" s="42">
        <f>100*(I91*9)/G91</f>
        <v>15</v>
      </c>
      <c r="S91" s="16">
        <f>100*K91*4/G91</f>
        <v>43.80952380952381</v>
      </c>
      <c r="T91" s="42">
        <f>100*N91/F91</f>
        <v>2</v>
      </c>
      <c r="U91" s="44">
        <f t="shared" si="32"/>
        <v>1</v>
      </c>
      <c r="V91" s="16">
        <f>U91*M91</f>
        <v>14</v>
      </c>
      <c r="W91" s="9">
        <f>U91*H91</f>
        <v>7</v>
      </c>
      <c r="X91" s="9">
        <f>U91*K91</f>
        <v>23</v>
      </c>
      <c r="Y91" s="9">
        <f>N91*U91</f>
        <v>1</v>
      </c>
      <c r="Z91">
        <f>U91*J91</f>
        <v>0</v>
      </c>
      <c r="AA91" s="2">
        <f>I91*U91</f>
        <v>3.5</v>
      </c>
      <c r="AB91" t="s">
        <v>723</v>
      </c>
    </row>
    <row r="93" ht="12.75">
      <c r="A93" t="s">
        <v>1544</v>
      </c>
    </row>
    <row r="95" spans="1:28" ht="12.75">
      <c r="A95" s="2"/>
      <c r="B95" s="11"/>
      <c r="H95" s="33" t="s">
        <v>587</v>
      </c>
      <c r="AB95" t="s">
        <v>565</v>
      </c>
    </row>
    <row r="96" spans="9:29" ht="12.75">
      <c r="I96" t="s">
        <v>586</v>
      </c>
      <c r="AB96">
        <v>4</v>
      </c>
      <c r="AC96" t="s">
        <v>568</v>
      </c>
    </row>
    <row r="97" spans="9:29" ht="12.75">
      <c r="I97" t="s">
        <v>1781</v>
      </c>
      <c r="AB97">
        <v>4</v>
      </c>
      <c r="AC97" t="s">
        <v>566</v>
      </c>
    </row>
    <row r="98" spans="9:29" ht="12.75">
      <c r="I98" t="s">
        <v>1796</v>
      </c>
      <c r="AB98">
        <v>9</v>
      </c>
      <c r="AC98" t="s">
        <v>567</v>
      </c>
    </row>
    <row r="99" ht="12.75">
      <c r="I99" s="27" t="s">
        <v>1789</v>
      </c>
    </row>
  </sheetData>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AH643"/>
  <sheetViews>
    <sheetView workbookViewId="0" topLeftCell="A1">
      <pane ySplit="1" topLeftCell="BM206" activePane="bottomLeft" state="frozen"/>
      <selection pane="topLeft" activeCell="A1" sqref="A1"/>
      <selection pane="bottomLeft" activeCell="A228" sqref="A228:IV228"/>
    </sheetView>
  </sheetViews>
  <sheetFormatPr defaultColWidth="9.140625" defaultRowHeight="12.75"/>
  <cols>
    <col min="1" max="1" width="7.00390625" style="0" customWidth="1"/>
    <col min="2" max="2" width="6.7109375" style="0" customWidth="1"/>
    <col min="3" max="3" width="5.57421875" style="0" customWidth="1"/>
    <col min="4" max="4" width="6.8515625" style="0" customWidth="1"/>
    <col min="5" max="5" width="18.8515625" style="0" customWidth="1"/>
    <col min="6" max="7" width="6.57421875" style="0" customWidth="1"/>
    <col min="8" max="8" width="7.57421875" style="0" customWidth="1"/>
    <col min="9" max="9" width="8.421875" style="0" customWidth="1"/>
    <col min="10" max="10" width="7.421875" style="0" customWidth="1"/>
    <col min="11" max="11" width="8.140625" style="0" customWidth="1"/>
    <col min="12" max="12" width="8.421875" style="0" customWidth="1"/>
    <col min="13" max="13" width="7.00390625" style="0" customWidth="1"/>
    <col min="14" max="14" width="7.7109375" style="0" customWidth="1"/>
    <col min="15" max="15" width="6.7109375" style="0" customWidth="1"/>
    <col min="16" max="16" width="6.57421875" style="0" customWidth="1"/>
    <col min="17" max="17" width="7.140625" style="0" customWidth="1"/>
    <col min="18" max="18" width="5.421875" style="0" customWidth="1"/>
    <col min="19" max="19" width="5.57421875" style="0" customWidth="1"/>
    <col min="20" max="20" width="4.7109375" style="0" customWidth="1"/>
  </cols>
  <sheetData>
    <row r="1" spans="2:11" ht="12.75">
      <c r="B1" s="2" t="s">
        <v>1603</v>
      </c>
      <c r="C1" t="s">
        <v>1265</v>
      </c>
      <c r="D1" t="s">
        <v>1604</v>
      </c>
      <c r="F1">
        <v>28.349523</v>
      </c>
      <c r="G1" t="s">
        <v>1229</v>
      </c>
      <c r="H1">
        <v>3.28084</v>
      </c>
      <c r="I1" t="s">
        <v>691</v>
      </c>
      <c r="J1">
        <f>F1*16</f>
        <v>453.592368</v>
      </c>
      <c r="K1" t="s">
        <v>1570</v>
      </c>
    </row>
    <row r="2" spans="2:16" ht="12.75">
      <c r="B2" s="9"/>
      <c r="D2" s="2"/>
      <c r="J2" t="s">
        <v>77</v>
      </c>
      <c r="L2" t="s">
        <v>824</v>
      </c>
      <c r="P2" s="6" t="s">
        <v>784</v>
      </c>
    </row>
    <row r="3" spans="2:16" ht="12.75">
      <c r="B3" s="9"/>
      <c r="D3" s="2"/>
      <c r="J3" t="s">
        <v>78</v>
      </c>
      <c r="P3" t="s">
        <v>783</v>
      </c>
    </row>
    <row r="4" spans="2:13" ht="12.75">
      <c r="B4" s="9"/>
      <c r="D4" s="2"/>
      <c r="J4">
        <f>(4*16)+1</f>
        <v>65</v>
      </c>
      <c r="K4" t="s">
        <v>1265</v>
      </c>
      <c r="L4" s="3">
        <f>L5/28.349523</f>
        <v>66.03285706076959</v>
      </c>
      <c r="M4" t="s">
        <v>1265</v>
      </c>
    </row>
    <row r="5" spans="10:13" ht="12.75">
      <c r="J5" s="9">
        <f>28.349523*J4</f>
        <v>1842.7189950000002</v>
      </c>
      <c r="K5" t="s">
        <v>79</v>
      </c>
      <c r="L5">
        <v>1872</v>
      </c>
      <c r="M5" t="s">
        <v>79</v>
      </c>
    </row>
    <row r="6" spans="2:5" ht="12.75">
      <c r="B6" s="9">
        <f>C6*28.349523</f>
        <v>1615.9228110000001</v>
      </c>
      <c r="C6" s="2">
        <f>3*16+9</f>
        <v>57</v>
      </c>
      <c r="D6" s="2">
        <v>3.5</v>
      </c>
      <c r="E6" t="s">
        <v>1982</v>
      </c>
    </row>
    <row r="7" spans="2:10" ht="12.75">
      <c r="B7" s="9">
        <f>C7*28.349523</f>
        <v>1403.3013885</v>
      </c>
      <c r="C7" s="2">
        <v>49.5</v>
      </c>
      <c r="D7" s="2">
        <v>3.1</v>
      </c>
      <c r="E7" t="s">
        <v>1983</v>
      </c>
      <c r="J7" t="s">
        <v>335</v>
      </c>
    </row>
    <row r="8" spans="2:6" ht="12.75">
      <c r="B8" s="9">
        <v>31</v>
      </c>
      <c r="C8" s="2">
        <f>B8/28.349523</f>
        <v>1.0934928252584708</v>
      </c>
      <c r="D8" s="2">
        <f>C8/16</f>
        <v>0.06834330157865443</v>
      </c>
      <c r="E8" t="s">
        <v>840</v>
      </c>
      <c r="F8" s="3"/>
    </row>
    <row r="9" spans="2:8" ht="12.75">
      <c r="B9" s="9">
        <v>845</v>
      </c>
      <c r="C9" s="2">
        <f>B9/28.349523</f>
        <v>29.806497978819607</v>
      </c>
      <c r="D9" s="2">
        <f>C9/16</f>
        <v>1.8629061236762254</v>
      </c>
      <c r="E9" t="s">
        <v>1703</v>
      </c>
      <c r="F9" s="3"/>
      <c r="H9" t="s">
        <v>841</v>
      </c>
    </row>
    <row r="10" spans="2:16" ht="12.75">
      <c r="B10" s="9">
        <v>814</v>
      </c>
      <c r="C10" s="2">
        <f>B10/28.349523</f>
        <v>28.713005153561138</v>
      </c>
      <c r="D10" s="2">
        <f>C10/16</f>
        <v>1.7945628220975711</v>
      </c>
      <c r="E10" t="s">
        <v>1704</v>
      </c>
      <c r="F10" s="3"/>
      <c r="H10" t="s">
        <v>1022</v>
      </c>
      <c r="O10">
        <f>396/F1</f>
        <v>13.968488993624337</v>
      </c>
      <c r="P10" t="s">
        <v>842</v>
      </c>
    </row>
    <row r="11" spans="2:4" ht="12.75">
      <c r="B11" s="9"/>
      <c r="C11" s="2"/>
      <c r="D11" s="2"/>
    </row>
    <row r="12" spans="2:5" ht="12.75">
      <c r="B12" s="9">
        <v>35</v>
      </c>
      <c r="C12" s="2">
        <f>B12/28.349523</f>
        <v>1.2345886736789187</v>
      </c>
      <c r="D12" s="2"/>
      <c r="E12" t="s">
        <v>1230</v>
      </c>
    </row>
    <row r="13" spans="2:5" ht="12.75">
      <c r="B13" s="9">
        <v>25</v>
      </c>
      <c r="C13" s="2">
        <f>B13/28.349523</f>
        <v>0.881849052627799</v>
      </c>
      <c r="D13" s="2"/>
      <c r="E13" t="s">
        <v>2077</v>
      </c>
    </row>
    <row r="14" spans="2:5" ht="12.75">
      <c r="B14" s="9">
        <v>24</v>
      </c>
      <c r="C14" s="2">
        <f>B14/28.349523</f>
        <v>0.8465750905226871</v>
      </c>
      <c r="D14" s="2"/>
      <c r="E14" t="s">
        <v>753</v>
      </c>
    </row>
    <row r="15" spans="2:5" ht="12.75">
      <c r="B15" s="9">
        <v>12</v>
      </c>
      <c r="C15" s="2">
        <f>B15/28.349523</f>
        <v>0.42328754526134355</v>
      </c>
      <c r="D15" s="2"/>
      <c r="E15" t="s">
        <v>754</v>
      </c>
    </row>
    <row r="16" spans="2:9" ht="12.75">
      <c r="B16" s="9"/>
      <c r="C16" s="2"/>
      <c r="D16" s="2"/>
      <c r="I16" s="6" t="s">
        <v>1533</v>
      </c>
    </row>
    <row r="17" spans="2:5" ht="12.75">
      <c r="B17">
        <v>14.5</v>
      </c>
      <c r="C17" s="3">
        <f aca="true" t="shared" si="0" ref="C17:C41">B17/28.349523</f>
        <v>0.5114724505241234</v>
      </c>
      <c r="D17" s="3">
        <f aca="true" t="shared" si="1" ref="D17:D41">C17/16</f>
        <v>0.03196702815775771</v>
      </c>
      <c r="E17" t="s">
        <v>156</v>
      </c>
    </row>
    <row r="18" spans="2:5" ht="12.75">
      <c r="B18" s="9">
        <v>292</v>
      </c>
      <c r="C18" s="2">
        <f t="shared" si="0"/>
        <v>10.299996934692693</v>
      </c>
      <c r="D18" s="2">
        <f t="shared" si="1"/>
        <v>0.6437498084182933</v>
      </c>
      <c r="E18" t="s">
        <v>790</v>
      </c>
    </row>
    <row r="19" spans="2:5" ht="12.75">
      <c r="B19" s="9">
        <v>702</v>
      </c>
      <c r="C19" s="2">
        <f t="shared" si="0"/>
        <v>24.762321397788597</v>
      </c>
      <c r="D19" s="2">
        <f t="shared" si="1"/>
        <v>1.5476450873617873</v>
      </c>
      <c r="E19" t="s">
        <v>821</v>
      </c>
    </row>
    <row r="20" spans="2:5" ht="12.75">
      <c r="B20" s="9">
        <v>905</v>
      </c>
      <c r="C20" s="2">
        <f t="shared" si="0"/>
        <v>31.922935705126324</v>
      </c>
      <c r="D20" s="2">
        <f t="shared" si="1"/>
        <v>1.9951834815703953</v>
      </c>
      <c r="E20" t="s">
        <v>788</v>
      </c>
    </row>
    <row r="21" spans="2:5" ht="12.75">
      <c r="B21" s="9">
        <v>52</v>
      </c>
      <c r="C21" s="2">
        <f t="shared" si="0"/>
        <v>1.834246029465822</v>
      </c>
      <c r="D21" s="2">
        <f t="shared" si="1"/>
        <v>0.11464037684161388</v>
      </c>
      <c r="E21" t="s">
        <v>1892</v>
      </c>
    </row>
    <row r="22" spans="2:5" ht="12.75">
      <c r="B22" s="9">
        <v>313</v>
      </c>
      <c r="C22" s="2">
        <f t="shared" si="0"/>
        <v>11.040750138900044</v>
      </c>
      <c r="D22" s="2">
        <f t="shared" si="1"/>
        <v>0.6900468836812528</v>
      </c>
      <c r="E22" t="s">
        <v>1232</v>
      </c>
    </row>
    <row r="23" spans="2:15" ht="12.75">
      <c r="B23" s="9">
        <v>210</v>
      </c>
      <c r="C23" s="2">
        <f t="shared" si="0"/>
        <v>7.407532042073512</v>
      </c>
      <c r="D23" s="2">
        <f t="shared" si="1"/>
        <v>0.4629707526295945</v>
      </c>
      <c r="E23" t="s">
        <v>1233</v>
      </c>
      <c r="G23" s="3">
        <f>C23/13</f>
        <v>0.5698101570825778</v>
      </c>
      <c r="H23" t="s">
        <v>1238</v>
      </c>
      <c r="I23" t="s">
        <v>1978</v>
      </c>
      <c r="K23" s="2">
        <f>C23*F1/13</f>
        <v>16.153846153846153</v>
      </c>
      <c r="L23" t="s">
        <v>711</v>
      </c>
      <c r="N23" s="3">
        <f>G23*19</f>
        <v>10.826392984568978</v>
      </c>
      <c r="O23" t="s">
        <v>1979</v>
      </c>
    </row>
    <row r="24" spans="2:14" ht="12.75">
      <c r="B24" s="9">
        <v>10</v>
      </c>
      <c r="C24" s="2">
        <f t="shared" si="0"/>
        <v>0.3527396210511196</v>
      </c>
      <c r="D24" s="2">
        <f t="shared" si="1"/>
        <v>0.022046226315694976</v>
      </c>
      <c r="E24" t="s">
        <v>1234</v>
      </c>
      <c r="G24" t="s">
        <v>1142</v>
      </c>
      <c r="N24" s="3"/>
    </row>
    <row r="25" spans="2:14" ht="17.25">
      <c r="B25" s="9">
        <v>13</v>
      </c>
      <c r="C25" s="2">
        <f t="shared" si="0"/>
        <v>0.4585615073664555</v>
      </c>
      <c r="D25" s="2">
        <f t="shared" si="1"/>
        <v>0.02866009421040347</v>
      </c>
      <c r="E25" t="s">
        <v>1235</v>
      </c>
      <c r="G25" t="s">
        <v>2098</v>
      </c>
      <c r="N25" s="3"/>
    </row>
    <row r="26" spans="2:14" ht="12.75">
      <c r="B26" s="9">
        <v>15</v>
      </c>
      <c r="C26" s="2">
        <f t="shared" si="0"/>
        <v>0.5291094315766794</v>
      </c>
      <c r="D26" s="2">
        <f t="shared" si="1"/>
        <v>0.033069339473542465</v>
      </c>
      <c r="E26" t="s">
        <v>1236</v>
      </c>
      <c r="G26" t="s">
        <v>1779</v>
      </c>
      <c r="N26" s="3"/>
    </row>
    <row r="27" spans="2:14" ht="12.75">
      <c r="B27" s="9">
        <f>470-292-2</f>
        <v>176</v>
      </c>
      <c r="C27" s="2">
        <f t="shared" si="0"/>
        <v>6.208217330499705</v>
      </c>
      <c r="D27" s="2">
        <f t="shared" si="1"/>
        <v>0.3880135831562316</v>
      </c>
      <c r="E27" t="s">
        <v>1462</v>
      </c>
      <c r="H27" s="3"/>
      <c r="N27" s="3"/>
    </row>
    <row r="28" spans="2:14" ht="12.75">
      <c r="B28" s="9">
        <v>315</v>
      </c>
      <c r="C28" s="2">
        <f t="shared" si="0"/>
        <v>11.111298063110267</v>
      </c>
      <c r="D28" s="2">
        <f t="shared" si="1"/>
        <v>0.6944561289443917</v>
      </c>
      <c r="E28" t="s">
        <v>692</v>
      </c>
      <c r="H28" s="3"/>
      <c r="J28" t="s">
        <v>1992</v>
      </c>
      <c r="N28" s="3"/>
    </row>
    <row r="29" spans="2:16" ht="12.75">
      <c r="B29" s="9">
        <f>B20+B19+B22+B40+B28</f>
        <v>2536</v>
      </c>
      <c r="C29" s="2">
        <f t="shared" si="0"/>
        <v>89.45476789856393</v>
      </c>
      <c r="D29" s="2">
        <f t="shared" si="1"/>
        <v>5.590922993660246</v>
      </c>
      <c r="E29" t="s">
        <v>693</v>
      </c>
      <c r="H29" s="3"/>
      <c r="P29" s="3"/>
    </row>
    <row r="30" spans="2:16" ht="12.75">
      <c r="B30" s="9">
        <f>B19+B20+B22+(B34*(19/6))</f>
        <v>2379.1666666666665</v>
      </c>
      <c r="C30" s="2">
        <f t="shared" si="0"/>
        <v>83.92263484174553</v>
      </c>
      <c r="D30" s="2">
        <f t="shared" si="1"/>
        <v>5.245164677609096</v>
      </c>
      <c r="E30" t="s">
        <v>115</v>
      </c>
      <c r="H30" s="3"/>
      <c r="P30" s="3"/>
    </row>
    <row r="31" spans="2:16" ht="12.75">
      <c r="B31" s="9">
        <f>B17*13+B18+B20+B19+B28</f>
        <v>2402.5</v>
      </c>
      <c r="C31" s="2">
        <f t="shared" si="0"/>
        <v>84.74569395753149</v>
      </c>
      <c r="D31" s="2">
        <f t="shared" si="1"/>
        <v>5.296605872345718</v>
      </c>
      <c r="E31" t="s">
        <v>789</v>
      </c>
      <c r="H31" s="3"/>
      <c r="P31" s="3"/>
    </row>
    <row r="32" spans="2:18" ht="12.75">
      <c r="B32" s="9">
        <v>19</v>
      </c>
      <c r="C32" s="2">
        <f t="shared" si="0"/>
        <v>0.6702052799971272</v>
      </c>
      <c r="D32" s="2">
        <f t="shared" si="1"/>
        <v>0.04188782999982045</v>
      </c>
      <c r="E32" t="s">
        <v>1</v>
      </c>
      <c r="K32" s="8">
        <f>C32</f>
        <v>0.6702052799971272</v>
      </c>
      <c r="L32" t="s">
        <v>1238</v>
      </c>
      <c r="M32" t="s">
        <v>1240</v>
      </c>
      <c r="N32" s="3">
        <f>19*K32</f>
        <v>12.733900319945416</v>
      </c>
      <c r="O32" t="s">
        <v>1979</v>
      </c>
      <c r="Q32" s="2">
        <f>C32*F1</f>
        <v>19</v>
      </c>
      <c r="R32" t="s">
        <v>709</v>
      </c>
    </row>
    <row r="33" spans="2:18" ht="12.75">
      <c r="B33" s="9">
        <v>16</v>
      </c>
      <c r="C33" s="2">
        <f t="shared" si="0"/>
        <v>0.5643833936817914</v>
      </c>
      <c r="D33" s="2">
        <f t="shared" si="1"/>
        <v>0.03527396210511196</v>
      </c>
      <c r="E33" t="s">
        <v>710</v>
      </c>
      <c r="K33" s="8">
        <f>C33</f>
        <v>0.5643833936817914</v>
      </c>
      <c r="L33" t="s">
        <v>1238</v>
      </c>
      <c r="M33" t="s">
        <v>1240</v>
      </c>
      <c r="N33" s="3">
        <f>19*K33</f>
        <v>10.723284479954035</v>
      </c>
      <c r="O33" t="s">
        <v>1979</v>
      </c>
      <c r="Q33" s="2">
        <f>C33*F1</f>
        <v>16</v>
      </c>
      <c r="R33" t="s">
        <v>709</v>
      </c>
    </row>
    <row r="34" spans="2:18" ht="12.75">
      <c r="B34" s="9">
        <v>145</v>
      </c>
      <c r="C34" s="2">
        <f t="shared" si="0"/>
        <v>5.1147245052412345</v>
      </c>
      <c r="D34" s="2">
        <f t="shared" si="1"/>
        <v>0.31967028157757715</v>
      </c>
      <c r="E34" t="s">
        <v>2095</v>
      </c>
      <c r="K34" s="8">
        <f>C34/10</f>
        <v>0.5114724505241235</v>
      </c>
      <c r="L34" t="s">
        <v>1238</v>
      </c>
      <c r="M34" t="s">
        <v>1240</v>
      </c>
      <c r="N34" s="3">
        <f>19*K34</f>
        <v>9.717976559958347</v>
      </c>
      <c r="O34" t="s">
        <v>1979</v>
      </c>
      <c r="Q34" s="2">
        <f>B34/10</f>
        <v>14.5</v>
      </c>
      <c r="R34" t="s">
        <v>709</v>
      </c>
    </row>
    <row r="35" spans="2:17" ht="12.75">
      <c r="B35" s="9">
        <v>44</v>
      </c>
      <c r="C35" s="2">
        <f t="shared" si="0"/>
        <v>1.5520543326249263</v>
      </c>
      <c r="D35" s="2">
        <f t="shared" si="1"/>
        <v>0.0970033957890579</v>
      </c>
      <c r="E35" t="s">
        <v>822</v>
      </c>
      <c r="K35" s="3">
        <f>C35/3</f>
        <v>0.5173514442083088</v>
      </c>
      <c r="L35" t="s">
        <v>1238</v>
      </c>
      <c r="M35" t="s">
        <v>1239</v>
      </c>
      <c r="N35" s="3">
        <f>19*K35</f>
        <v>9.829677439957868</v>
      </c>
      <c r="O35" t="s">
        <v>1979</v>
      </c>
      <c r="Q35" s="2">
        <f>B35/3</f>
        <v>14.666666666666666</v>
      </c>
    </row>
    <row r="36" spans="2:14" ht="12.75">
      <c r="B36" s="9">
        <v>85</v>
      </c>
      <c r="C36" s="2">
        <f t="shared" si="0"/>
        <v>2.9982867789345167</v>
      </c>
      <c r="D36" s="2">
        <f t="shared" si="1"/>
        <v>0.1873929236834073</v>
      </c>
      <c r="E36" t="s">
        <v>1481</v>
      </c>
      <c r="K36" s="3">
        <f>C36/3</f>
        <v>0.9994289263115056</v>
      </c>
      <c r="L36" t="s">
        <v>1238</v>
      </c>
      <c r="N36" s="3"/>
    </row>
    <row r="37" spans="2:18" ht="12.75">
      <c r="B37" s="9">
        <v>10.625</v>
      </c>
      <c r="C37" s="2">
        <f t="shared" si="0"/>
        <v>0.3747858473668146</v>
      </c>
      <c r="D37" s="2"/>
      <c r="E37" t="s">
        <v>429</v>
      </c>
      <c r="K37" s="3">
        <f>C37</f>
        <v>0.3747858473668146</v>
      </c>
      <c r="L37" t="s">
        <v>1238</v>
      </c>
      <c r="M37" t="s">
        <v>430</v>
      </c>
      <c r="N37" s="3">
        <f>19*K37</f>
        <v>7.120931099969477</v>
      </c>
      <c r="O37" t="s">
        <v>1979</v>
      </c>
      <c r="Q37" s="2">
        <v>11</v>
      </c>
      <c r="R37" t="s">
        <v>709</v>
      </c>
    </row>
    <row r="38" spans="2:15" ht="12.75">
      <c r="B38" s="9">
        <v>176</v>
      </c>
      <c r="C38" s="2">
        <f>B38/28.349523</f>
        <v>6.208217330499705</v>
      </c>
      <c r="D38" s="2">
        <f>C38/16</f>
        <v>0.3880135831562316</v>
      </c>
      <c r="E38" s="13" t="s">
        <v>1145</v>
      </c>
      <c r="G38" t="s">
        <v>1575</v>
      </c>
      <c r="I38" s="2">
        <f>(102*62)/(36*36)</f>
        <v>4.87962962962963</v>
      </c>
      <c r="J38" t="s">
        <v>1576</v>
      </c>
      <c r="K38" s="2">
        <f>I38*2.1</f>
        <v>10.247222222222224</v>
      </c>
      <c r="L38" t="s">
        <v>1265</v>
      </c>
      <c r="N38" s="2">
        <f>I38*1.8</f>
        <v>8.783333333333333</v>
      </c>
      <c r="O38" t="s">
        <v>1265</v>
      </c>
    </row>
    <row r="39" spans="2:14" ht="12.75">
      <c r="B39" s="9">
        <v>102</v>
      </c>
      <c r="C39" s="2">
        <f t="shared" si="0"/>
        <v>3.59794413472142</v>
      </c>
      <c r="D39" s="2">
        <f t="shared" si="1"/>
        <v>0.22487150842008874</v>
      </c>
      <c r="E39" t="s">
        <v>839</v>
      </c>
      <c r="F39" s="3"/>
      <c r="K39" t="s">
        <v>1577</v>
      </c>
      <c r="N39" t="s">
        <v>1578</v>
      </c>
    </row>
    <row r="40" spans="2:6" ht="12.75">
      <c r="B40" s="9">
        <v>301</v>
      </c>
      <c r="C40" s="2">
        <f t="shared" si="0"/>
        <v>10.6174625936387</v>
      </c>
      <c r="D40" s="2">
        <f t="shared" si="1"/>
        <v>0.6635914121024188</v>
      </c>
      <c r="E40" t="s">
        <v>1402</v>
      </c>
      <c r="F40" s="3"/>
    </row>
    <row r="41" spans="2:6" ht="12.75">
      <c r="B41" s="9">
        <f>13.8*19</f>
        <v>262.2</v>
      </c>
      <c r="C41" s="2">
        <f t="shared" si="0"/>
        <v>9.248832863960356</v>
      </c>
      <c r="D41" s="2">
        <f t="shared" si="1"/>
        <v>0.5780520539975222</v>
      </c>
      <c r="E41" s="2" t="s">
        <v>155</v>
      </c>
      <c r="F41" s="2"/>
    </row>
    <row r="42" spans="2:14" ht="12.75">
      <c r="B42" s="9"/>
      <c r="C42" s="2"/>
      <c r="D42" s="2"/>
      <c r="H42" s="3"/>
      <c r="N42" s="3"/>
    </row>
    <row r="43" spans="2:6" ht="12.75">
      <c r="B43" s="9">
        <v>121</v>
      </c>
      <c r="C43" s="2">
        <f aca="true" t="shared" si="2" ref="C43:C49">B43/28.349523</f>
        <v>4.268149414718548</v>
      </c>
      <c r="D43" s="2">
        <f aca="true" t="shared" si="3" ref="D43:D49">C43/16</f>
        <v>0.26675933841990923</v>
      </c>
      <c r="E43" t="s">
        <v>757</v>
      </c>
      <c r="F43" s="3"/>
    </row>
    <row r="44" spans="2:6" ht="12.75">
      <c r="B44" s="9">
        <v>24</v>
      </c>
      <c r="C44" s="2">
        <f t="shared" si="2"/>
        <v>0.8465750905226871</v>
      </c>
      <c r="D44" s="2">
        <f t="shared" si="3"/>
        <v>0.05291094315766794</v>
      </c>
      <c r="E44" t="s">
        <v>1058</v>
      </c>
      <c r="F44" s="3"/>
    </row>
    <row r="45" spans="2:6" ht="12.75">
      <c r="B45" s="9">
        <v>796</v>
      </c>
      <c r="C45" s="2">
        <f t="shared" si="2"/>
        <v>28.07807383566912</v>
      </c>
      <c r="D45" s="2">
        <f t="shared" si="3"/>
        <v>1.75487961472932</v>
      </c>
      <c r="E45" t="s">
        <v>1057</v>
      </c>
      <c r="F45" s="3"/>
    </row>
    <row r="46" spans="2:12" ht="12.75">
      <c r="B46" s="9">
        <v>83</v>
      </c>
      <c r="C46" s="2">
        <f t="shared" si="2"/>
        <v>2.927738854724293</v>
      </c>
      <c r="D46" s="2">
        <f t="shared" si="3"/>
        <v>0.1829836784202683</v>
      </c>
      <c r="E46" t="s">
        <v>1237</v>
      </c>
      <c r="F46" s="3"/>
      <c r="K46">
        <f>B46/6</f>
        <v>13.833333333333334</v>
      </c>
      <c r="L46" t="s">
        <v>709</v>
      </c>
    </row>
    <row r="47" spans="2:6" ht="12.75">
      <c r="B47" s="9">
        <f>B43+B44+B45+B46</f>
        <v>1024</v>
      </c>
      <c r="C47" s="2">
        <f t="shared" si="2"/>
        <v>36.12053719563465</v>
      </c>
      <c r="D47" s="2">
        <f t="shared" si="3"/>
        <v>2.2575335747271654</v>
      </c>
      <c r="E47" t="s">
        <v>1059</v>
      </c>
      <c r="F47" s="3"/>
    </row>
    <row r="48" spans="2:16" ht="12.75">
      <c r="B48" s="9">
        <f>B43+B45+B46+16</f>
        <v>1016</v>
      </c>
      <c r="C48" s="2">
        <f t="shared" si="2"/>
        <v>35.83834549879375</v>
      </c>
      <c r="D48" s="2">
        <f t="shared" si="3"/>
        <v>2.2398965936746094</v>
      </c>
      <c r="E48" t="s">
        <v>114</v>
      </c>
      <c r="F48" s="3"/>
      <c r="P48">
        <f>3.46+(2.5/16)</f>
        <v>3.61625</v>
      </c>
    </row>
    <row r="49" spans="2:6" ht="12.75">
      <c r="B49" s="9">
        <v>74</v>
      </c>
      <c r="C49" s="2">
        <f t="shared" si="2"/>
        <v>2.610273195778285</v>
      </c>
      <c r="D49" s="2">
        <f t="shared" si="3"/>
        <v>0.1631420747361428</v>
      </c>
      <c r="E49" s="4" t="s">
        <v>6</v>
      </c>
      <c r="F49" s="3"/>
    </row>
    <row r="50" spans="2:6" ht="12.75">
      <c r="B50" s="9"/>
      <c r="C50" s="2"/>
      <c r="D50" s="2"/>
      <c r="E50" s="4"/>
      <c r="F50" s="3"/>
    </row>
    <row r="51" spans="2:5" ht="12.75">
      <c r="B51" s="9"/>
      <c r="C51" s="2"/>
      <c r="D51" s="2"/>
      <c r="E51" t="s">
        <v>2104</v>
      </c>
    </row>
    <row r="52" spans="2:5" ht="12.75">
      <c r="B52" s="9"/>
      <c r="C52" s="2"/>
      <c r="D52" s="2"/>
      <c r="E52" t="s">
        <v>968</v>
      </c>
    </row>
    <row r="53" spans="2:5" ht="12.75">
      <c r="B53" s="9"/>
      <c r="C53" s="2"/>
      <c r="D53" s="2"/>
      <c r="E53" t="s">
        <v>969</v>
      </c>
    </row>
    <row r="54" spans="2:5" ht="12.75">
      <c r="B54" s="9"/>
      <c r="C54" s="2"/>
      <c r="D54" s="2"/>
      <c r="E54" t="s">
        <v>2105</v>
      </c>
    </row>
    <row r="55" spans="2:5" ht="12.75">
      <c r="B55" s="9"/>
      <c r="C55" s="2"/>
      <c r="D55" s="2"/>
      <c r="E55" t="s">
        <v>2106</v>
      </c>
    </row>
    <row r="56" spans="2:4" ht="12.75">
      <c r="B56" s="9"/>
      <c r="C56" s="2"/>
      <c r="D56" s="2"/>
    </row>
    <row r="57" spans="2:12" ht="12.75">
      <c r="B57" s="9"/>
      <c r="C57" s="2"/>
      <c r="D57" s="2"/>
      <c r="E57" t="s">
        <v>982</v>
      </c>
      <c r="J57" s="282">
        <v>377</v>
      </c>
      <c r="K57" s="1" t="s">
        <v>2103</v>
      </c>
      <c r="L57" s="282">
        <v>680.37</v>
      </c>
    </row>
    <row r="58" spans="2:5" ht="12.75">
      <c r="B58" s="9"/>
      <c r="C58" s="2"/>
      <c r="D58" s="2"/>
      <c r="E58" t="s">
        <v>981</v>
      </c>
    </row>
    <row r="59" spans="2:6" ht="12.75">
      <c r="B59" s="9"/>
      <c r="C59" s="2"/>
      <c r="D59" s="2"/>
      <c r="E59" s="4"/>
      <c r="F59" s="3"/>
    </row>
    <row r="61" spans="2:14" ht="12.75">
      <c r="B61" s="9"/>
      <c r="C61" s="2"/>
      <c r="D61" s="2"/>
      <c r="E61" s="4" t="s">
        <v>764</v>
      </c>
      <c r="F61" s="3"/>
      <c r="I61" t="s">
        <v>782</v>
      </c>
      <c r="N61" t="s">
        <v>1151</v>
      </c>
    </row>
    <row r="62" spans="2:9" ht="12.75">
      <c r="B62" s="9">
        <v>61</v>
      </c>
      <c r="C62" s="2">
        <f aca="true" t="shared" si="4" ref="C62:C78">B62/28.349523</f>
        <v>2.1517116884118295</v>
      </c>
      <c r="D62" s="2">
        <f aca="true" t="shared" si="5" ref="D62:D78">C62/16</f>
        <v>0.13448198052573934</v>
      </c>
      <c r="E62" s="4" t="s">
        <v>1840</v>
      </c>
      <c r="F62" s="3"/>
      <c r="I62" t="s">
        <v>1780</v>
      </c>
    </row>
    <row r="63" spans="2:9" ht="15" customHeight="1">
      <c r="B63" s="9">
        <v>61</v>
      </c>
      <c r="C63" s="2">
        <f t="shared" si="4"/>
        <v>2.1517116884118295</v>
      </c>
      <c r="D63" s="2">
        <f t="shared" si="5"/>
        <v>0.13448198052573934</v>
      </c>
      <c r="E63" s="4" t="s">
        <v>1841</v>
      </c>
      <c r="F63" s="3"/>
      <c r="I63" s="33" t="s">
        <v>108</v>
      </c>
    </row>
    <row r="64" spans="2:6" ht="12.75">
      <c r="B64" s="9">
        <v>20</v>
      </c>
      <c r="C64" s="2">
        <f t="shared" si="4"/>
        <v>0.7054792421022392</v>
      </c>
      <c r="D64" s="2">
        <f t="shared" si="5"/>
        <v>0.04409245263138995</v>
      </c>
      <c r="E64" s="4" t="s">
        <v>765</v>
      </c>
      <c r="F64" s="3"/>
    </row>
    <row r="65" spans="2:6" ht="12.75">
      <c r="B65" s="9">
        <v>124</v>
      </c>
      <c r="C65" s="2">
        <f t="shared" si="4"/>
        <v>4.373971301033883</v>
      </c>
      <c r="D65" s="2">
        <f t="shared" si="5"/>
        <v>0.2733732063146177</v>
      </c>
      <c r="E65" s="4" t="s">
        <v>523</v>
      </c>
      <c r="F65" s="3"/>
    </row>
    <row r="66" spans="2:6" ht="12.75">
      <c r="B66" s="9">
        <v>59</v>
      </c>
      <c r="C66" s="2">
        <f t="shared" si="4"/>
        <v>2.0811637642016056</v>
      </c>
      <c r="D66" s="2">
        <f t="shared" si="5"/>
        <v>0.13007273526260035</v>
      </c>
      <c r="E66" s="4" t="s">
        <v>524</v>
      </c>
      <c r="F66" s="3"/>
    </row>
    <row r="67" spans="2:11" ht="12.75">
      <c r="B67" s="9">
        <v>118</v>
      </c>
      <c r="C67" s="2">
        <f t="shared" si="4"/>
        <v>4.162327528403211</v>
      </c>
      <c r="D67" s="2">
        <f t="shared" si="5"/>
        <v>0.2601454705252007</v>
      </c>
      <c r="E67" s="4" t="s">
        <v>766</v>
      </c>
      <c r="F67" s="3"/>
      <c r="H67" s="3">
        <f>B67/7</f>
        <v>16.857142857142858</v>
      </c>
      <c r="I67" t="s">
        <v>1603</v>
      </c>
      <c r="J67" s="3">
        <f>C67/7</f>
        <v>0.5946182183433159</v>
      </c>
      <c r="K67" t="s">
        <v>767</v>
      </c>
    </row>
    <row r="68" spans="2:6" ht="12.75">
      <c r="B68" s="9">
        <v>23</v>
      </c>
      <c r="C68" s="2">
        <f t="shared" si="4"/>
        <v>0.8113011284175751</v>
      </c>
      <c r="D68" s="2">
        <f t="shared" si="5"/>
        <v>0.05070632052609844</v>
      </c>
      <c r="E68" s="4" t="s">
        <v>809</v>
      </c>
      <c r="F68" s="3"/>
    </row>
    <row r="69" spans="2:6" ht="12.75">
      <c r="B69" s="9">
        <v>33</v>
      </c>
      <c r="C69" s="2">
        <f t="shared" si="4"/>
        <v>1.1640407494686946</v>
      </c>
      <c r="D69" s="2">
        <f t="shared" si="5"/>
        <v>0.07275254684179341</v>
      </c>
      <c r="E69" s="4" t="s">
        <v>1252</v>
      </c>
      <c r="F69" s="3"/>
    </row>
    <row r="70" spans="2:6" ht="12.75">
      <c r="B70" s="9">
        <v>9</v>
      </c>
      <c r="C70" s="2">
        <f t="shared" si="4"/>
        <v>0.31746565894600765</v>
      </c>
      <c r="D70" s="2">
        <f t="shared" si="5"/>
        <v>0.019841603684125478</v>
      </c>
      <c r="E70" s="4" t="s">
        <v>1251</v>
      </c>
      <c r="F70" s="3"/>
    </row>
    <row r="71" spans="2:6" ht="12.75">
      <c r="B71" s="9">
        <v>500</v>
      </c>
      <c r="C71" s="2">
        <f t="shared" si="4"/>
        <v>17.63698105255598</v>
      </c>
      <c r="D71" s="2">
        <f t="shared" si="5"/>
        <v>1.1023113157847488</v>
      </c>
      <c r="E71" s="4" t="s">
        <v>522</v>
      </c>
      <c r="F71" s="3"/>
    </row>
    <row r="72" spans="2:8" ht="12.75">
      <c r="B72" s="9">
        <v>537</v>
      </c>
      <c r="C72" s="2">
        <f t="shared" si="4"/>
        <v>18.942117650445123</v>
      </c>
      <c r="D72" s="2">
        <f t="shared" si="5"/>
        <v>1.1838823531528202</v>
      </c>
      <c r="E72" s="4" t="s">
        <v>521</v>
      </c>
      <c r="F72" s="3"/>
      <c r="G72" s="9">
        <f>B72+B71+B66+B65</f>
        <v>1220</v>
      </c>
      <c r="H72" t="s">
        <v>1832</v>
      </c>
    </row>
    <row r="73" spans="2:12" ht="12.75">
      <c r="B73" s="9">
        <f>SUM(B64:B72)</f>
        <v>1423</v>
      </c>
      <c r="C73" s="2">
        <f t="shared" si="4"/>
        <v>50.19484807557432</v>
      </c>
      <c r="D73" s="2">
        <f t="shared" si="5"/>
        <v>3.137178004723395</v>
      </c>
      <c r="E73" s="4" t="s">
        <v>768</v>
      </c>
      <c r="F73" s="3"/>
      <c r="H73" t="s">
        <v>769</v>
      </c>
      <c r="J73" t="s">
        <v>1579</v>
      </c>
      <c r="K73" t="s">
        <v>1580</v>
      </c>
      <c r="L73" t="s">
        <v>1581</v>
      </c>
    </row>
    <row r="74" spans="2:18" ht="12.75">
      <c r="B74" s="9"/>
      <c r="C74" s="2"/>
      <c r="D74" s="2"/>
      <c r="E74" s="4" t="s">
        <v>2094</v>
      </c>
      <c r="F74" s="3"/>
      <c r="J74">
        <v>40</v>
      </c>
      <c r="K74">
        <v>100</v>
      </c>
      <c r="L74">
        <f>J74*K74/(36*36)</f>
        <v>3.0864197530864197</v>
      </c>
      <c r="N74" s="2">
        <f>L74*2.1</f>
        <v>6.481481481481482</v>
      </c>
      <c r="O74" t="s">
        <v>1265</v>
      </c>
      <c r="Q74" s="2">
        <f>L74*1.8</f>
        <v>5.555555555555555</v>
      </c>
      <c r="R74" t="s">
        <v>1265</v>
      </c>
    </row>
    <row r="75" spans="2:17" ht="12.75">
      <c r="B75" s="9">
        <v>97</v>
      </c>
      <c r="C75" s="2">
        <f t="shared" si="4"/>
        <v>3.42157432419586</v>
      </c>
      <c r="D75" s="2">
        <f t="shared" si="5"/>
        <v>0.21384839526224125</v>
      </c>
      <c r="E75" s="4" t="s">
        <v>520</v>
      </c>
      <c r="F75" s="3"/>
      <c r="N75" t="s">
        <v>1577</v>
      </c>
      <c r="Q75" t="s">
        <v>1578</v>
      </c>
    </row>
    <row r="76" spans="2:6" ht="12.75">
      <c r="B76">
        <v>13.83</v>
      </c>
      <c r="C76" s="3">
        <f t="shared" si="4"/>
        <v>0.48783889591369844</v>
      </c>
      <c r="D76" s="3">
        <f t="shared" si="5"/>
        <v>0.030489930994606153</v>
      </c>
      <c r="E76" t="s">
        <v>156</v>
      </c>
      <c r="F76" s="3"/>
    </row>
    <row r="77" spans="2:6" ht="12.75">
      <c r="B77" s="9">
        <v>2.5</v>
      </c>
      <c r="C77" s="2">
        <f t="shared" si="4"/>
        <v>0.0881849052627799</v>
      </c>
      <c r="D77" s="2">
        <f t="shared" si="5"/>
        <v>0.005511556578923744</v>
      </c>
      <c r="E77" s="4" t="s">
        <v>1991</v>
      </c>
      <c r="F77" s="3"/>
    </row>
    <row r="78" spans="2:15" ht="12.75">
      <c r="B78" s="9">
        <f>(7*B76)+B75+B72+B71+B66+B65+B77</f>
        <v>1416.31</v>
      </c>
      <c r="C78" s="2">
        <f t="shared" si="4"/>
        <v>49.95886526909112</v>
      </c>
      <c r="D78" s="2">
        <f t="shared" si="5"/>
        <v>3.122429079318195</v>
      </c>
      <c r="E78" s="4" t="s">
        <v>478</v>
      </c>
      <c r="F78" s="3"/>
      <c r="L78">
        <v>3</v>
      </c>
      <c r="M78" t="s">
        <v>1266</v>
      </c>
      <c r="N78" s="2">
        <f>C78-(L78*16)</f>
        <v>1.9588652690911204</v>
      </c>
      <c r="O78" t="s">
        <v>1265</v>
      </c>
    </row>
    <row r="79" spans="2:15" ht="12.75">
      <c r="B79">
        <v>1105</v>
      </c>
      <c r="C79" s="2">
        <f aca="true" t="shared" si="6" ref="C79:C87">B79/28.349523</f>
        <v>38.97772812614872</v>
      </c>
      <c r="D79" s="2">
        <f aca="true" t="shared" si="7" ref="D79:D85">C79/16</f>
        <v>2.436108007884295</v>
      </c>
      <c r="E79" s="12" t="s">
        <v>1701</v>
      </c>
      <c r="L79">
        <v>2</v>
      </c>
      <c r="M79" t="s">
        <v>1266</v>
      </c>
      <c r="N79" s="2">
        <f>C79-(L79*16)</f>
        <v>6.977728126148719</v>
      </c>
      <c r="O79" t="s">
        <v>1265</v>
      </c>
    </row>
    <row r="80" spans="2:5" ht="12.75">
      <c r="B80" s="9">
        <f>B78-B79</f>
        <v>311.30999999999995</v>
      </c>
      <c r="C80" s="2">
        <f t="shared" si="6"/>
        <v>10.981137142942403</v>
      </c>
      <c r="D80" s="2">
        <f t="shared" si="7"/>
        <v>0.6863210714339002</v>
      </c>
      <c r="E80" s="13" t="s">
        <v>774</v>
      </c>
    </row>
    <row r="81" spans="2:20" ht="12.75">
      <c r="B81" s="9">
        <v>2394</v>
      </c>
      <c r="C81" s="2">
        <f t="shared" si="6"/>
        <v>84.44586527963803</v>
      </c>
      <c r="D81" s="2">
        <f t="shared" si="7"/>
        <v>5.277866579977377</v>
      </c>
      <c r="E81" t="s">
        <v>791</v>
      </c>
      <c r="Q81">
        <v>5</v>
      </c>
      <c r="R81" t="s">
        <v>1266</v>
      </c>
      <c r="S81" s="2">
        <f>C81-(Q81*16)</f>
        <v>4.445865279638028</v>
      </c>
      <c r="T81" t="s">
        <v>1265</v>
      </c>
    </row>
    <row r="82" spans="2:5" ht="12.75">
      <c r="B82" s="9">
        <f>B81-B78</f>
        <v>977.69</v>
      </c>
      <c r="C82" s="2">
        <f t="shared" si="6"/>
        <v>34.487000010546915</v>
      </c>
      <c r="D82" s="2">
        <f t="shared" si="7"/>
        <v>2.155437500659182</v>
      </c>
      <c r="E82" s="13" t="s">
        <v>1842</v>
      </c>
    </row>
    <row r="83" spans="2:5" ht="12.75">
      <c r="B83" s="9">
        <v>208</v>
      </c>
      <c r="C83" s="2">
        <f t="shared" si="6"/>
        <v>7.336984117863288</v>
      </c>
      <c r="D83" s="2">
        <f t="shared" si="7"/>
        <v>0.4585615073664555</v>
      </c>
      <c r="E83" s="13" t="s">
        <v>1839</v>
      </c>
    </row>
    <row r="84" spans="2:5" ht="12.75">
      <c r="B84" s="9">
        <f>B83+(B76*7)+B65+B66+B71</f>
        <v>987.81</v>
      </c>
      <c r="C84" s="2">
        <f t="shared" si="6"/>
        <v>34.843972507050644</v>
      </c>
      <c r="D84" s="2">
        <f t="shared" si="7"/>
        <v>2.1777482816906653</v>
      </c>
      <c r="E84" s="13" t="s">
        <v>477</v>
      </c>
    </row>
    <row r="85" spans="2:5" ht="12.75">
      <c r="B85" s="9">
        <f>B84+B75</f>
        <v>1084.81</v>
      </c>
      <c r="C85" s="2">
        <f t="shared" si="6"/>
        <v>38.2655468312465</v>
      </c>
      <c r="D85" s="2">
        <f t="shared" si="7"/>
        <v>2.3915966769529065</v>
      </c>
      <c r="E85" s="13" t="s">
        <v>1627</v>
      </c>
    </row>
    <row r="86" spans="1:17" ht="12.75">
      <c r="A86" s="92"/>
      <c r="B86" s="93">
        <v>111</v>
      </c>
      <c r="C86" s="94">
        <f t="shared" si="6"/>
        <v>3.9154097936674277</v>
      </c>
      <c r="D86" s="94">
        <f>C86/16</f>
        <v>0.24471311210421423</v>
      </c>
      <c r="E86" s="139" t="s">
        <v>654</v>
      </c>
      <c r="F86" s="92"/>
      <c r="G86" s="92"/>
      <c r="H86" s="92"/>
      <c r="I86" s="92"/>
      <c r="J86" s="92"/>
      <c r="K86" s="139" t="s">
        <v>516</v>
      </c>
      <c r="L86" s="92"/>
      <c r="M86" s="92"/>
      <c r="N86" s="92"/>
      <c r="O86" s="92"/>
      <c r="P86" s="92"/>
      <c r="Q86" s="92"/>
    </row>
    <row r="87" spans="1:17" ht="12.75">
      <c r="A87" s="92"/>
      <c r="B87" s="93">
        <v>152</v>
      </c>
      <c r="C87" s="94">
        <f t="shared" si="6"/>
        <v>5.361642239977018</v>
      </c>
      <c r="D87" s="94">
        <f>C87/16</f>
        <v>0.3351026399985636</v>
      </c>
      <c r="E87" s="139" t="s">
        <v>654</v>
      </c>
      <c r="F87" s="92"/>
      <c r="G87" s="92"/>
      <c r="H87" s="92"/>
      <c r="I87" s="92"/>
      <c r="J87" s="92"/>
      <c r="K87" s="139" t="s">
        <v>1617</v>
      </c>
      <c r="L87" s="92"/>
      <c r="M87" s="92"/>
      <c r="N87" s="92"/>
      <c r="O87" s="92"/>
      <c r="P87" s="92"/>
      <c r="Q87" s="92"/>
    </row>
    <row r="88" spans="2:5" ht="12.75">
      <c r="B88" s="9"/>
      <c r="C88" s="2"/>
      <c r="D88" s="2"/>
      <c r="E88" s="13"/>
    </row>
    <row r="89" spans="2:5" ht="12.75">
      <c r="B89" s="9">
        <v>80</v>
      </c>
      <c r="C89" s="2">
        <f aca="true" t="shared" si="8" ref="C89:C94">B89/28.349523</f>
        <v>2.821916968408957</v>
      </c>
      <c r="D89" s="2">
        <f aca="true" t="shared" si="9" ref="D89:D94">C89/16</f>
        <v>0.1763698105255598</v>
      </c>
      <c r="E89" t="s">
        <v>945</v>
      </c>
    </row>
    <row r="90" spans="2:5" ht="12.75">
      <c r="B90" s="9">
        <f>31*3/4</f>
        <v>23.25</v>
      </c>
      <c r="C90" s="2">
        <f t="shared" si="8"/>
        <v>0.8201196189438531</v>
      </c>
      <c r="D90" s="2">
        <f t="shared" si="9"/>
        <v>0.05125747618399082</v>
      </c>
      <c r="E90" t="s">
        <v>1152</v>
      </c>
    </row>
    <row r="91" spans="2:6" ht="12.75">
      <c r="B91" s="9">
        <v>34</v>
      </c>
      <c r="C91" s="2">
        <f t="shared" si="8"/>
        <v>1.1993147115738068</v>
      </c>
      <c r="D91" s="2">
        <f t="shared" si="9"/>
        <v>0.07495716947336292</v>
      </c>
      <c r="E91" t="s">
        <v>1241</v>
      </c>
      <c r="F91" t="s">
        <v>990</v>
      </c>
    </row>
    <row r="92" spans="2:5" ht="12.75">
      <c r="B92" s="9">
        <v>45.75</v>
      </c>
      <c r="C92" s="2">
        <f t="shared" si="8"/>
        <v>1.613783766308872</v>
      </c>
      <c r="D92" s="2">
        <f t="shared" si="9"/>
        <v>0.1008614853943045</v>
      </c>
      <c r="E92" t="s">
        <v>989</v>
      </c>
    </row>
    <row r="93" spans="2:5" ht="12.75">
      <c r="B93" s="9">
        <v>69</v>
      </c>
      <c r="C93" s="2">
        <f t="shared" si="8"/>
        <v>2.433903385252725</v>
      </c>
      <c r="D93" s="2">
        <f t="shared" si="9"/>
        <v>0.15211896157829533</v>
      </c>
      <c r="E93" t="s">
        <v>1777</v>
      </c>
    </row>
    <row r="94" spans="2:5" ht="12.75">
      <c r="B94" s="9">
        <v>66</v>
      </c>
      <c r="C94" s="2">
        <f t="shared" si="8"/>
        <v>2.3280814989373892</v>
      </c>
      <c r="D94" s="2">
        <f t="shared" si="9"/>
        <v>0.14550509368358683</v>
      </c>
      <c r="E94" t="s">
        <v>946</v>
      </c>
    </row>
    <row r="95" spans="2:5" ht="12.75">
      <c r="B95" s="9">
        <v>7</v>
      </c>
      <c r="C95" s="2">
        <f aca="true" t="shared" si="10" ref="C95:C111">B95/28.349523</f>
        <v>0.24691773473578374</v>
      </c>
      <c r="D95" s="2">
        <f aca="true" t="shared" si="11" ref="D95:D111">C95/16</f>
        <v>0.015432358420986484</v>
      </c>
      <c r="E95" s="11" t="s">
        <v>1506</v>
      </c>
    </row>
    <row r="96" spans="2:5" ht="12.75">
      <c r="B96" s="9">
        <v>31</v>
      </c>
      <c r="C96" s="2">
        <f t="shared" si="10"/>
        <v>1.0934928252584708</v>
      </c>
      <c r="D96" s="2">
        <f t="shared" si="11"/>
        <v>0.06834330157865443</v>
      </c>
      <c r="E96" s="11" t="s">
        <v>2053</v>
      </c>
    </row>
    <row r="97" spans="2:5" ht="12.75">
      <c r="B97" s="9">
        <v>11</v>
      </c>
      <c r="C97" s="2">
        <f t="shared" si="10"/>
        <v>0.3880135831562316</v>
      </c>
      <c r="D97" s="2">
        <f t="shared" si="11"/>
        <v>0.024250848947264474</v>
      </c>
      <c r="E97" s="11" t="s">
        <v>404</v>
      </c>
    </row>
    <row r="98" spans="2:5" ht="12.75">
      <c r="B98" s="9">
        <v>9</v>
      </c>
      <c r="C98" s="2">
        <f t="shared" si="10"/>
        <v>0.31746565894600765</v>
      </c>
      <c r="D98" s="2">
        <f t="shared" si="11"/>
        <v>0.019841603684125478</v>
      </c>
      <c r="E98" s="11" t="s">
        <v>405</v>
      </c>
    </row>
    <row r="99" spans="2:9" ht="15">
      <c r="B99" s="9">
        <v>8</v>
      </c>
      <c r="C99" s="2">
        <f t="shared" si="10"/>
        <v>0.2821916968408957</v>
      </c>
      <c r="D99" s="2"/>
      <c r="E99" s="11" t="s">
        <v>872</v>
      </c>
      <c r="I99" s="31"/>
    </row>
    <row r="100" spans="2:9" ht="12.75">
      <c r="B100" s="9">
        <v>10</v>
      </c>
      <c r="C100" s="2">
        <f t="shared" si="10"/>
        <v>0.3527396210511196</v>
      </c>
      <c r="D100" s="2">
        <f t="shared" si="11"/>
        <v>0.022046226315694976</v>
      </c>
      <c r="E100" s="11" t="s">
        <v>406</v>
      </c>
      <c r="I100" t="s">
        <v>408</v>
      </c>
    </row>
    <row r="101" spans="2:5" ht="12.75">
      <c r="B101" s="9">
        <v>78</v>
      </c>
      <c r="C101" s="2">
        <f t="shared" si="10"/>
        <v>2.751369044198733</v>
      </c>
      <c r="D101" s="2">
        <f t="shared" si="11"/>
        <v>0.17196056526242082</v>
      </c>
      <c r="E101" s="11" t="s">
        <v>991</v>
      </c>
    </row>
    <row r="102" spans="2:5" ht="12.75">
      <c r="B102" s="9">
        <v>27</v>
      </c>
      <c r="C102" s="2">
        <f t="shared" si="10"/>
        <v>0.9523969768380229</v>
      </c>
      <c r="D102" s="2">
        <f t="shared" si="11"/>
        <v>0.05952481105237643</v>
      </c>
      <c r="E102" s="11" t="s">
        <v>189</v>
      </c>
    </row>
    <row r="103" spans="2:5" ht="12.75">
      <c r="B103" s="9">
        <v>50</v>
      </c>
      <c r="C103" s="2">
        <f t="shared" si="10"/>
        <v>1.763698105255598</v>
      </c>
      <c r="D103" s="2">
        <f t="shared" si="11"/>
        <v>0.11023113157847488</v>
      </c>
      <c r="E103" s="11" t="s">
        <v>190</v>
      </c>
    </row>
    <row r="104" spans="2:5" ht="12.75">
      <c r="B104" s="9">
        <v>43</v>
      </c>
      <c r="C104" s="2">
        <f t="shared" si="10"/>
        <v>1.5167803705198144</v>
      </c>
      <c r="D104" s="2">
        <f t="shared" si="11"/>
        <v>0.0947987731574884</v>
      </c>
      <c r="E104" s="11" t="s">
        <v>988</v>
      </c>
    </row>
    <row r="105" spans="2:5" ht="12.75">
      <c r="B105" s="9">
        <v>16</v>
      </c>
      <c r="C105" s="2">
        <f t="shared" si="10"/>
        <v>0.5643833936817914</v>
      </c>
      <c r="D105" s="2"/>
      <c r="E105" s="11" t="s">
        <v>188</v>
      </c>
    </row>
    <row r="106" spans="2:5" ht="12.75">
      <c r="B106" s="9">
        <v>8</v>
      </c>
      <c r="C106" s="2">
        <f t="shared" si="10"/>
        <v>0.2821916968408957</v>
      </c>
      <c r="D106" s="2"/>
      <c r="E106" s="11" t="s">
        <v>191</v>
      </c>
    </row>
    <row r="107" spans="2:5" ht="12.75">
      <c r="B107" s="9">
        <v>57</v>
      </c>
      <c r="C107" s="2">
        <f t="shared" si="10"/>
        <v>2.010615839991382</v>
      </c>
      <c r="D107" s="2"/>
      <c r="E107" s="11" t="s">
        <v>1618</v>
      </c>
    </row>
    <row r="108" spans="2:5" ht="12.75">
      <c r="B108" s="9"/>
      <c r="C108" s="2"/>
      <c r="D108" s="2"/>
      <c r="E108" s="11"/>
    </row>
    <row r="109" spans="2:5" ht="12.75">
      <c r="B109" s="9">
        <v>239</v>
      </c>
      <c r="C109" s="2">
        <f t="shared" si="10"/>
        <v>8.430476943121759</v>
      </c>
      <c r="D109" s="2">
        <f t="shared" si="11"/>
        <v>0.5269048089451099</v>
      </c>
      <c r="E109" s="12" t="s">
        <v>255</v>
      </c>
    </row>
    <row r="110" spans="2:5" ht="12.75">
      <c r="B110" s="9">
        <v>357</v>
      </c>
      <c r="C110" s="2">
        <f t="shared" si="10"/>
        <v>12.59280447152497</v>
      </c>
      <c r="D110" s="2">
        <f t="shared" si="11"/>
        <v>0.7870502794703106</v>
      </c>
      <c r="E110" s="4" t="s">
        <v>232</v>
      </c>
    </row>
    <row r="111" spans="1:6" ht="12.75">
      <c r="A111" s="7"/>
      <c r="B111" s="16">
        <v>154</v>
      </c>
      <c r="C111" s="2">
        <f t="shared" si="10"/>
        <v>5.432190164187242</v>
      </c>
      <c r="D111" s="2">
        <f t="shared" si="11"/>
        <v>0.3395118852617026</v>
      </c>
      <c r="E111" s="4" t="s">
        <v>694</v>
      </c>
      <c r="F111" s="3"/>
    </row>
    <row r="112" spans="2:5" ht="12.75">
      <c r="B112" s="9">
        <v>320</v>
      </c>
      <c r="C112" s="2">
        <f aca="true" t="shared" si="12" ref="C112:C172">B112/28.349523</f>
        <v>11.287667873635828</v>
      </c>
      <c r="D112" s="2">
        <f aca="true" t="shared" si="13" ref="D112:D172">C112/16</f>
        <v>0.7054792421022392</v>
      </c>
      <c r="E112" t="s">
        <v>372</v>
      </c>
    </row>
    <row r="113" spans="2:5" ht="12.75">
      <c r="B113" s="9">
        <v>133</v>
      </c>
      <c r="C113" s="2">
        <f t="shared" si="12"/>
        <v>4.691436959979891</v>
      </c>
      <c r="D113" s="2">
        <f t="shared" si="13"/>
        <v>0.29321480999874316</v>
      </c>
      <c r="E113" t="s">
        <v>371</v>
      </c>
    </row>
    <row r="114" spans="2:5" ht="12.75">
      <c r="B114" s="9">
        <v>172</v>
      </c>
      <c r="C114" s="2">
        <f t="shared" si="12"/>
        <v>6.067121482079258</v>
      </c>
      <c r="D114" s="2">
        <f t="shared" si="13"/>
        <v>0.3791950926299536</v>
      </c>
      <c r="E114" t="s">
        <v>370</v>
      </c>
    </row>
    <row r="115" spans="2:5" ht="12.75">
      <c r="B115" s="9">
        <v>1018</v>
      </c>
      <c r="C115" s="2">
        <f t="shared" si="12"/>
        <v>35.908893423003974</v>
      </c>
      <c r="D115" s="2">
        <f t="shared" si="13"/>
        <v>2.2443058389377484</v>
      </c>
      <c r="E115" t="s">
        <v>1002</v>
      </c>
    </row>
    <row r="116" spans="2:5" ht="12.75">
      <c r="B116" s="9">
        <v>407</v>
      </c>
      <c r="C116" s="2">
        <f>B116/28.349523</f>
        <v>14.356502576780569</v>
      </c>
      <c r="D116" s="2">
        <f>C116/16</f>
        <v>0.8972814110487856</v>
      </c>
      <c r="E116" t="s">
        <v>1073</v>
      </c>
    </row>
    <row r="117" spans="2:6" ht="12.75">
      <c r="B117" s="9">
        <v>839</v>
      </c>
      <c r="C117" s="2">
        <f t="shared" si="12"/>
        <v>29.594854206188934</v>
      </c>
      <c r="D117" s="2">
        <f t="shared" si="13"/>
        <v>1.8496783878868084</v>
      </c>
      <c r="E117" t="s">
        <v>706</v>
      </c>
      <c r="F117" s="3"/>
    </row>
    <row r="118" spans="2:6" ht="12.75">
      <c r="B118" s="9">
        <v>6</v>
      </c>
      <c r="C118" s="2">
        <f t="shared" si="12"/>
        <v>0.21164377263067177</v>
      </c>
      <c r="D118" s="2"/>
      <c r="E118" s="4" t="s">
        <v>1824</v>
      </c>
      <c r="F118" s="3"/>
    </row>
    <row r="119" spans="2:6" ht="12.75">
      <c r="B119" s="9">
        <v>857</v>
      </c>
      <c r="C119" s="2">
        <f t="shared" si="12"/>
        <v>30.22978552408095</v>
      </c>
      <c r="D119" s="2">
        <f t="shared" si="13"/>
        <v>1.8893615952550593</v>
      </c>
      <c r="E119" s="4" t="s">
        <v>1439</v>
      </c>
      <c r="F119" s="3"/>
    </row>
    <row r="120" spans="2:11" ht="12.75">
      <c r="B120" s="9">
        <v>265</v>
      </c>
      <c r="C120" s="2">
        <f t="shared" si="12"/>
        <v>9.34759995785467</v>
      </c>
      <c r="D120" s="2">
        <f t="shared" si="13"/>
        <v>0.5842249973659168</v>
      </c>
      <c r="E120" s="4" t="s">
        <v>2134</v>
      </c>
      <c r="F120" s="3"/>
      <c r="J120" s="216">
        <f>C120/10</f>
        <v>0.9347599957854669</v>
      </c>
      <c r="K120" t="s">
        <v>2133</v>
      </c>
    </row>
    <row r="121" spans="2:10" ht="12.75">
      <c r="B121" s="9"/>
      <c r="C121" s="2"/>
      <c r="D121" s="2"/>
      <c r="E121" s="4"/>
      <c r="F121" s="3"/>
      <c r="J121" s="216"/>
    </row>
    <row r="122" spans="2:5" ht="12.75">
      <c r="B122" s="9">
        <v>651</v>
      </c>
      <c r="C122" s="2">
        <f>B122/28.349523</f>
        <v>22.963349330427885</v>
      </c>
      <c r="D122" s="2">
        <f>C122/16</f>
        <v>1.4352093331517428</v>
      </c>
      <c r="E122" s="283" t="s">
        <v>964</v>
      </c>
    </row>
    <row r="123" spans="2:17" ht="12.75">
      <c r="B123" s="9">
        <f>717-8</f>
        <v>709</v>
      </c>
      <c r="C123" s="2">
        <f t="shared" si="12"/>
        <v>25.00923913252438</v>
      </c>
      <c r="D123" s="2">
        <f t="shared" si="13"/>
        <v>1.5630774457827739</v>
      </c>
      <c r="E123" t="s">
        <v>441</v>
      </c>
      <c r="F123" s="3"/>
      <c r="P123" t="s">
        <v>823</v>
      </c>
      <c r="Q123" t="s">
        <v>824</v>
      </c>
    </row>
    <row r="124" spans="2:6" ht="12.75">
      <c r="B124" s="9">
        <v>57</v>
      </c>
      <c r="C124" s="2">
        <f t="shared" si="12"/>
        <v>2.010615839991382</v>
      </c>
      <c r="D124" s="2"/>
      <c r="E124" t="s">
        <v>442</v>
      </c>
      <c r="F124" s="3"/>
    </row>
    <row r="125" spans="2:18" ht="12.75">
      <c r="B125" s="9">
        <v>6</v>
      </c>
      <c r="C125" s="2">
        <f t="shared" si="12"/>
        <v>0.21164377263067177</v>
      </c>
      <c r="D125" s="2"/>
      <c r="E125" t="s">
        <v>1958</v>
      </c>
      <c r="F125" s="3"/>
      <c r="P125" s="3">
        <v>1.9</v>
      </c>
      <c r="Q125" s="3">
        <f>(912/F1)/16</f>
        <v>2.010615839991382</v>
      </c>
      <c r="R125" t="s">
        <v>1266</v>
      </c>
    </row>
    <row r="126" spans="2:18" ht="12.75">
      <c r="B126" s="9">
        <f>B124+B123+B125</f>
        <v>772</v>
      </c>
      <c r="C126" s="2">
        <f t="shared" si="12"/>
        <v>27.231498745146435</v>
      </c>
      <c r="D126" s="2">
        <f t="shared" si="13"/>
        <v>1.7019686715716522</v>
      </c>
      <c r="E126" t="s">
        <v>1976</v>
      </c>
      <c r="F126" s="3"/>
      <c r="L126" t="s">
        <v>1956</v>
      </c>
      <c r="P126" s="3">
        <f>1.9*16*F1</f>
        <v>861.8254992</v>
      </c>
      <c r="Q126" s="3">
        <v>912</v>
      </c>
      <c r="R126" t="s">
        <v>825</v>
      </c>
    </row>
    <row r="127" spans="2:5" ht="12.75">
      <c r="B127" s="9">
        <v>690</v>
      </c>
      <c r="C127" s="2">
        <f>B127/28.349523</f>
        <v>24.339033852527255</v>
      </c>
      <c r="D127" s="2">
        <f>C127/16</f>
        <v>1.5211896157829534</v>
      </c>
      <c r="E127" s="12" t="s">
        <v>1766</v>
      </c>
    </row>
    <row r="128" spans="2:5" ht="12.75">
      <c r="B128" s="9">
        <v>33</v>
      </c>
      <c r="C128" s="2">
        <f>B128/28.349523</f>
        <v>1.1640407494686946</v>
      </c>
      <c r="D128" s="2"/>
      <c r="E128" s="12" t="s">
        <v>375</v>
      </c>
    </row>
    <row r="129" spans="2:5" ht="12.75">
      <c r="B129" s="9">
        <v>20</v>
      </c>
      <c r="C129" s="2">
        <f>B129/28.349523</f>
        <v>0.7054792421022392</v>
      </c>
      <c r="D129" s="2"/>
      <c r="E129" s="12" t="s">
        <v>1530</v>
      </c>
    </row>
    <row r="130" spans="2:5" ht="12.75">
      <c r="B130" s="9">
        <v>53</v>
      </c>
      <c r="C130" s="2">
        <f>B130/28.349523</f>
        <v>1.869519991570934</v>
      </c>
      <c r="D130" s="2"/>
      <c r="E130" s="12" t="s">
        <v>1531</v>
      </c>
    </row>
    <row r="131" spans="2:8" ht="12.75">
      <c r="B131" s="9">
        <v>21</v>
      </c>
      <c r="C131" s="2">
        <f>B131/28.349523</f>
        <v>0.7407532042073511</v>
      </c>
      <c r="D131" s="2"/>
      <c r="E131" s="12" t="s">
        <v>1375</v>
      </c>
      <c r="H131" s="12" t="s">
        <v>1374</v>
      </c>
    </row>
    <row r="132" spans="2:5" ht="12.75">
      <c r="B132" s="9">
        <f>C132*28.349523</f>
        <v>2239.612317</v>
      </c>
      <c r="C132" s="2">
        <f>4*16+15</f>
        <v>79</v>
      </c>
      <c r="D132" s="2">
        <f>C132/16</f>
        <v>4.9375</v>
      </c>
      <c r="E132" t="s">
        <v>1981</v>
      </c>
    </row>
    <row r="133" spans="2:17" ht="12.75">
      <c r="B133" s="9">
        <f>B128+B124+B122</f>
        <v>741</v>
      </c>
      <c r="C133" s="2"/>
      <c r="D133" s="2"/>
      <c r="F133" s="3"/>
      <c r="P133" s="3"/>
      <c r="Q133" s="3"/>
    </row>
    <row r="134" spans="5:17" ht="12.75">
      <c r="E134" s="33" t="s">
        <v>1456</v>
      </c>
      <c r="F134" s="3"/>
      <c r="P134" s="3"/>
      <c r="Q134" s="3"/>
    </row>
    <row r="135" spans="2:5" ht="12.75">
      <c r="B135">
        <v>6</v>
      </c>
      <c r="C135" s="2">
        <f t="shared" si="12"/>
        <v>0.21164377263067177</v>
      </c>
      <c r="D135" s="2">
        <f t="shared" si="13"/>
        <v>0.013227735789416986</v>
      </c>
      <c r="E135" t="s">
        <v>1434</v>
      </c>
    </row>
    <row r="136" spans="2:5" ht="12.75">
      <c r="B136" s="9">
        <v>180</v>
      </c>
      <c r="C136" s="2">
        <f t="shared" si="12"/>
        <v>6.349313178920153</v>
      </c>
      <c r="D136" s="2">
        <f t="shared" si="13"/>
        <v>0.39683207368250956</v>
      </c>
      <c r="E136" t="s">
        <v>700</v>
      </c>
    </row>
    <row r="137" spans="2:17" ht="12.75">
      <c r="B137" s="9">
        <v>295</v>
      </c>
      <c r="C137" s="2">
        <f t="shared" si="12"/>
        <v>10.405818821008028</v>
      </c>
      <c r="D137" s="2">
        <f t="shared" si="13"/>
        <v>0.6503636763130017</v>
      </c>
      <c r="E137" t="s">
        <v>701</v>
      </c>
      <c r="F137" s="3"/>
      <c r="P137" s="3"/>
      <c r="Q137" s="3"/>
    </row>
    <row r="138" spans="2:17" ht="12.75">
      <c r="B138" s="9">
        <v>219</v>
      </c>
      <c r="C138" s="2">
        <f t="shared" si="12"/>
        <v>7.724997701019519</v>
      </c>
      <c r="D138" s="2">
        <f t="shared" si="13"/>
        <v>0.48281235631371994</v>
      </c>
      <c r="E138" t="s">
        <v>702</v>
      </c>
      <c r="F138" s="3"/>
      <c r="P138" s="3"/>
      <c r="Q138" s="3"/>
    </row>
    <row r="139" spans="2:17" ht="12.75">
      <c r="B139" s="9">
        <v>132</v>
      </c>
      <c r="C139" s="2">
        <f t="shared" si="12"/>
        <v>4.6561629978747785</v>
      </c>
      <c r="D139" s="2">
        <f t="shared" si="13"/>
        <v>0.29101018736717366</v>
      </c>
      <c r="E139" t="s">
        <v>2114</v>
      </c>
      <c r="F139" s="3"/>
      <c r="P139" s="3"/>
      <c r="Q139" s="3"/>
    </row>
    <row r="140" spans="2:17" ht="12.75">
      <c r="B140" s="9">
        <v>23</v>
      </c>
      <c r="C140" s="2">
        <f t="shared" si="12"/>
        <v>0.8113011284175751</v>
      </c>
      <c r="D140" s="2">
        <f t="shared" si="13"/>
        <v>0.05070632052609844</v>
      </c>
      <c r="E140" t="s">
        <v>703</v>
      </c>
      <c r="F140" s="3"/>
      <c r="P140" s="3"/>
      <c r="Q140" s="3"/>
    </row>
    <row r="141" spans="2:17" ht="12.75">
      <c r="B141" s="9">
        <v>1016</v>
      </c>
      <c r="C141" s="2">
        <f t="shared" si="12"/>
        <v>35.83834549879375</v>
      </c>
      <c r="D141" s="2">
        <f t="shared" si="13"/>
        <v>2.2398965936746094</v>
      </c>
      <c r="E141" t="s">
        <v>704</v>
      </c>
      <c r="F141" s="3"/>
      <c r="I141" s="18" t="s">
        <v>1266</v>
      </c>
      <c r="J141" s="18" t="s">
        <v>1265</v>
      </c>
      <c r="K141" s="18" t="s">
        <v>1435</v>
      </c>
      <c r="P141" s="3"/>
      <c r="Q141" s="3"/>
    </row>
    <row r="142" spans="2:17" ht="12.75">
      <c r="B142" s="9">
        <f>SUM(B135:B141)</f>
        <v>1871</v>
      </c>
      <c r="C142" s="2">
        <f t="shared" si="12"/>
        <v>65.99758309866448</v>
      </c>
      <c r="D142" s="3">
        <f t="shared" si="13"/>
        <v>4.12484894366653</v>
      </c>
      <c r="E142" t="s">
        <v>705</v>
      </c>
      <c r="F142" s="3"/>
      <c r="I142">
        <v>4</v>
      </c>
      <c r="J142" s="9">
        <f>C142-(4*16)</f>
        <v>1.997583098664478</v>
      </c>
      <c r="K142">
        <v>1.87</v>
      </c>
      <c r="L142" t="s">
        <v>1821</v>
      </c>
      <c r="P142" s="3"/>
      <c r="Q142" s="3"/>
    </row>
    <row r="143" spans="2:17" ht="12.75">
      <c r="B143" s="9">
        <f>SUM(B136:B141)</f>
        <v>1865</v>
      </c>
      <c r="C143" s="2">
        <f t="shared" si="12"/>
        <v>65.78593932603381</v>
      </c>
      <c r="D143" s="3">
        <f t="shared" si="13"/>
        <v>4.111621207877113</v>
      </c>
      <c r="E143" t="s">
        <v>705</v>
      </c>
      <c r="F143" s="3"/>
      <c r="I143">
        <v>4</v>
      </c>
      <c r="J143" s="9">
        <f>C143-(4*16)</f>
        <v>1.7859393260338123</v>
      </c>
      <c r="L143" t="s">
        <v>1436</v>
      </c>
      <c r="P143" s="3"/>
      <c r="Q143" s="3"/>
    </row>
    <row r="144" spans="2:17" ht="12.75">
      <c r="B144" s="9">
        <f>B141+B138+B135</f>
        <v>1241</v>
      </c>
      <c r="C144" s="2">
        <f t="shared" si="12"/>
        <v>43.77498697244394</v>
      </c>
      <c r="D144" s="3">
        <f t="shared" si="13"/>
        <v>2.7359366857777463</v>
      </c>
      <c r="E144" s="6" t="s">
        <v>1258</v>
      </c>
      <c r="F144" s="3"/>
      <c r="J144" s="9"/>
      <c r="P144" s="3"/>
      <c r="Q144" s="3"/>
    </row>
    <row r="145" spans="2:17" ht="12.75">
      <c r="B145" s="9"/>
      <c r="C145" s="2"/>
      <c r="D145" s="3"/>
      <c r="E145" s="6"/>
      <c r="F145" s="3"/>
      <c r="J145" s="9"/>
      <c r="P145" s="3"/>
      <c r="Q145" s="3"/>
    </row>
    <row r="146" spans="2:17" ht="12.75">
      <c r="B146" s="9"/>
      <c r="C146" s="2"/>
      <c r="D146" s="3"/>
      <c r="E146" s="33" t="s">
        <v>1443</v>
      </c>
      <c r="F146" s="3"/>
      <c r="I146" s="9" t="s">
        <v>1450</v>
      </c>
      <c r="K146" t="s">
        <v>1451</v>
      </c>
      <c r="M146" t="s">
        <v>1452</v>
      </c>
      <c r="N146" t="s">
        <v>1454</v>
      </c>
      <c r="P146" s="3"/>
      <c r="Q146" s="3"/>
    </row>
    <row r="147" spans="2:17" ht="12.75">
      <c r="B147" s="9"/>
      <c r="C147" s="2"/>
      <c r="D147" s="3"/>
      <c r="F147" s="3"/>
      <c r="G147" t="s">
        <v>1455</v>
      </c>
      <c r="J147">
        <v>3450</v>
      </c>
      <c r="K147">
        <v>950</v>
      </c>
      <c r="L147" s="1"/>
      <c r="M147" s="1">
        <v>700</v>
      </c>
      <c r="N147" s="1">
        <v>5100</v>
      </c>
      <c r="O147" s="1">
        <v>30</v>
      </c>
      <c r="P147" t="s">
        <v>1453</v>
      </c>
      <c r="Q147" s="3"/>
    </row>
    <row r="148" spans="2:5" ht="12.75">
      <c r="B148" s="9">
        <v>97</v>
      </c>
      <c r="C148" s="2">
        <f t="shared" si="12"/>
        <v>3.42157432419586</v>
      </c>
      <c r="D148" s="2">
        <f t="shared" si="13"/>
        <v>0.21384839526224125</v>
      </c>
      <c r="E148" t="s">
        <v>1445</v>
      </c>
    </row>
    <row r="149" spans="2:17" ht="12.75">
      <c r="B149" s="9">
        <v>4</v>
      </c>
      <c r="C149" s="2">
        <f t="shared" si="12"/>
        <v>0.14109584842044784</v>
      </c>
      <c r="D149" s="2"/>
      <c r="E149" s="6" t="s">
        <v>1444</v>
      </c>
      <c r="F149" s="3"/>
      <c r="J149" s="9"/>
      <c r="P149" s="3"/>
      <c r="Q149" s="3"/>
    </row>
    <row r="150" spans="2:17" ht="12.75">
      <c r="B150" s="9">
        <v>32</v>
      </c>
      <c r="C150" s="2">
        <f t="shared" si="12"/>
        <v>1.1287667873635827</v>
      </c>
      <c r="D150" s="2">
        <f t="shared" si="13"/>
        <v>0.07054792421022392</v>
      </c>
      <c r="E150" s="6" t="s">
        <v>1446</v>
      </c>
      <c r="F150" s="3"/>
      <c r="J150" s="9"/>
      <c r="P150" s="3"/>
      <c r="Q150" s="3"/>
    </row>
    <row r="151" spans="2:17" ht="12.75">
      <c r="B151" s="9">
        <v>800</v>
      </c>
      <c r="C151" s="2">
        <f t="shared" si="12"/>
        <v>28.219169684089568</v>
      </c>
      <c r="D151" s="2">
        <f t="shared" si="13"/>
        <v>1.763698105255598</v>
      </c>
      <c r="E151" s="6" t="s">
        <v>1447</v>
      </c>
      <c r="F151" s="3"/>
      <c r="J151" s="9"/>
      <c r="P151" s="3"/>
      <c r="Q151" s="3"/>
    </row>
    <row r="152" spans="2:17" ht="12.75">
      <c r="B152" s="9">
        <f>SUM(B148:B151)</f>
        <v>933</v>
      </c>
      <c r="C152" s="2">
        <f t="shared" si="12"/>
        <v>32.91060664406946</v>
      </c>
      <c r="D152" s="2">
        <f t="shared" si="13"/>
        <v>2.0569129152543413</v>
      </c>
      <c r="E152" s="6" t="s">
        <v>1448</v>
      </c>
      <c r="F152" s="9">
        <v>2</v>
      </c>
      <c r="G152" t="s">
        <v>1266</v>
      </c>
      <c r="H152" s="2">
        <f>C152-F152*16</f>
        <v>0.9106066440694605</v>
      </c>
      <c r="I152" t="s">
        <v>1265</v>
      </c>
      <c r="J152" s="9" t="s">
        <v>1449</v>
      </c>
      <c r="P152" s="3"/>
      <c r="Q152" s="3"/>
    </row>
    <row r="153" spans="2:17" ht="12.75">
      <c r="B153" s="9"/>
      <c r="C153" s="2"/>
      <c r="D153" s="3"/>
      <c r="E153" s="6"/>
      <c r="F153" s="3"/>
      <c r="J153" s="9"/>
      <c r="P153" s="3"/>
      <c r="Q153" s="3"/>
    </row>
    <row r="154" spans="2:17" ht="12.75">
      <c r="B154" s="9"/>
      <c r="C154" s="2"/>
      <c r="D154" s="3"/>
      <c r="E154" s="6"/>
      <c r="F154" s="3"/>
      <c r="J154" s="9"/>
      <c r="P154" s="3"/>
      <c r="Q154" s="3"/>
    </row>
    <row r="155" spans="2:19" ht="12.75">
      <c r="B155" s="9">
        <v>64</v>
      </c>
      <c r="C155" s="2">
        <f t="shared" si="12"/>
        <v>2.2575335747271654</v>
      </c>
      <c r="D155" s="2">
        <f t="shared" si="13"/>
        <v>0.14109584842044784</v>
      </c>
      <c r="E155" s="6" t="s">
        <v>2107</v>
      </c>
      <c r="F155" s="3"/>
      <c r="J155" s="9"/>
      <c r="O155" s="3">
        <v>0.865</v>
      </c>
      <c r="P155" s="2">
        <f>B155/O155</f>
        <v>73.98843930635839</v>
      </c>
      <c r="Q155" t="s">
        <v>1726</v>
      </c>
      <c r="R155" s="2">
        <f>P155*2</f>
        <v>147.97687861271677</v>
      </c>
      <c r="S155" t="s">
        <v>1727</v>
      </c>
    </row>
    <row r="156" spans="2:19" ht="12.75">
      <c r="B156" s="9">
        <v>25</v>
      </c>
      <c r="C156" s="2">
        <f t="shared" si="12"/>
        <v>0.881849052627799</v>
      </c>
      <c r="D156" s="2">
        <f t="shared" si="13"/>
        <v>0.05511556578923744</v>
      </c>
      <c r="E156" s="6" t="s">
        <v>1725</v>
      </c>
      <c r="F156" s="3"/>
      <c r="J156" s="9"/>
      <c r="O156" s="3">
        <v>0.71</v>
      </c>
      <c r="P156" s="2">
        <f aca="true" t="shared" si="14" ref="P156:P161">B156/O156</f>
        <v>35.21126760563381</v>
      </c>
      <c r="Q156" t="s">
        <v>1726</v>
      </c>
      <c r="R156" s="2">
        <f aca="true" t="shared" si="15" ref="R156:R161">P156*2</f>
        <v>70.42253521126761</v>
      </c>
      <c r="S156" t="s">
        <v>1727</v>
      </c>
    </row>
    <row r="157" spans="2:19" ht="12.75">
      <c r="B157" s="9">
        <v>25</v>
      </c>
      <c r="C157" s="2">
        <f t="shared" si="12"/>
        <v>0.881849052627799</v>
      </c>
      <c r="D157" s="2">
        <f t="shared" si="13"/>
        <v>0.05511556578923744</v>
      </c>
      <c r="E157" t="s">
        <v>1724</v>
      </c>
      <c r="F157" s="3"/>
      <c r="J157" s="9"/>
      <c r="O157" s="3">
        <v>0.75</v>
      </c>
      <c r="P157" s="2">
        <f t="shared" si="14"/>
        <v>33.333333333333336</v>
      </c>
      <c r="Q157" t="s">
        <v>1726</v>
      </c>
      <c r="R157" s="2">
        <f t="shared" si="15"/>
        <v>66.66666666666667</v>
      </c>
      <c r="S157" t="s">
        <v>1727</v>
      </c>
    </row>
    <row r="158" spans="2:19" ht="12.75">
      <c r="B158" s="9">
        <v>83</v>
      </c>
      <c r="C158" s="2">
        <f t="shared" si="12"/>
        <v>2.927738854724293</v>
      </c>
      <c r="D158" s="2">
        <f t="shared" si="13"/>
        <v>0.1829836784202683</v>
      </c>
      <c r="E158" t="s">
        <v>1680</v>
      </c>
      <c r="F158" s="3"/>
      <c r="O158" s="8">
        <v>1.892</v>
      </c>
      <c r="P158" s="2">
        <f t="shared" si="14"/>
        <v>43.86892177589852</v>
      </c>
      <c r="Q158" t="s">
        <v>1726</v>
      </c>
      <c r="R158" s="2">
        <f t="shared" si="15"/>
        <v>87.73784355179704</v>
      </c>
      <c r="S158" t="s">
        <v>1727</v>
      </c>
    </row>
    <row r="159" spans="2:19" ht="12.75">
      <c r="B159" s="9">
        <v>51</v>
      </c>
      <c r="C159" s="2">
        <f t="shared" si="12"/>
        <v>1.79897206736071</v>
      </c>
      <c r="D159" s="2">
        <f t="shared" si="13"/>
        <v>0.11243575421004437</v>
      </c>
      <c r="E159" t="s">
        <v>393</v>
      </c>
      <c r="F159" s="3"/>
      <c r="O159">
        <f>1.892/2</f>
        <v>0.946</v>
      </c>
      <c r="P159" s="2">
        <f t="shared" si="14"/>
        <v>53.911205073995774</v>
      </c>
      <c r="Q159" t="s">
        <v>1726</v>
      </c>
      <c r="R159" s="2">
        <f t="shared" si="15"/>
        <v>107.82241014799155</v>
      </c>
      <c r="S159" t="s">
        <v>1727</v>
      </c>
    </row>
    <row r="160" spans="2:19" ht="12.75">
      <c r="B160" s="9">
        <v>53</v>
      </c>
      <c r="C160" s="2">
        <f t="shared" si="12"/>
        <v>1.869519991570934</v>
      </c>
      <c r="D160" s="2">
        <f t="shared" si="13"/>
        <v>0.11684499947318337</v>
      </c>
      <c r="E160" t="s">
        <v>1722</v>
      </c>
      <c r="F160" s="3"/>
      <c r="O160">
        <v>2</v>
      </c>
      <c r="P160" s="2">
        <f t="shared" si="14"/>
        <v>26.5</v>
      </c>
      <c r="Q160" t="s">
        <v>1726</v>
      </c>
      <c r="R160" s="2">
        <f t="shared" si="15"/>
        <v>53</v>
      </c>
      <c r="S160" t="s">
        <v>1727</v>
      </c>
    </row>
    <row r="161" spans="2:19" ht="12.75">
      <c r="B161" s="9">
        <v>38</v>
      </c>
      <c r="C161" s="2">
        <f t="shared" si="12"/>
        <v>1.3404105599942544</v>
      </c>
      <c r="D161" s="2">
        <f t="shared" si="13"/>
        <v>0.0837756599996409</v>
      </c>
      <c r="E161" t="s">
        <v>1681</v>
      </c>
      <c r="F161" s="3"/>
      <c r="O161">
        <v>2.42</v>
      </c>
      <c r="P161" s="2">
        <f t="shared" si="14"/>
        <v>15.702479338842975</v>
      </c>
      <c r="Q161" t="s">
        <v>1726</v>
      </c>
      <c r="R161" s="2">
        <f t="shared" si="15"/>
        <v>31.40495867768595</v>
      </c>
      <c r="S161" t="s">
        <v>1727</v>
      </c>
    </row>
    <row r="162" spans="2:6" ht="12.75">
      <c r="B162" s="9">
        <v>61</v>
      </c>
      <c r="C162" s="2">
        <f t="shared" si="12"/>
        <v>2.1517116884118295</v>
      </c>
      <c r="D162" s="2">
        <f t="shared" si="13"/>
        <v>0.13448198052573934</v>
      </c>
      <c r="E162" t="s">
        <v>996</v>
      </c>
      <c r="F162" s="3"/>
    </row>
    <row r="163" spans="2:6" ht="12.75">
      <c r="B163" s="9">
        <v>41</v>
      </c>
      <c r="C163" s="2">
        <f t="shared" si="12"/>
        <v>1.4462324463095904</v>
      </c>
      <c r="D163" s="2">
        <f t="shared" si="13"/>
        <v>0.0903895278943494</v>
      </c>
      <c r="E163" t="s">
        <v>995</v>
      </c>
      <c r="F163" s="3"/>
    </row>
    <row r="164" spans="2:19" ht="12.75">
      <c r="B164" s="9">
        <v>102</v>
      </c>
      <c r="C164" s="2">
        <f t="shared" si="12"/>
        <v>3.59794413472142</v>
      </c>
      <c r="D164" s="2">
        <f t="shared" si="13"/>
        <v>0.22487150842008874</v>
      </c>
      <c r="E164" t="s">
        <v>993</v>
      </c>
      <c r="F164" s="3"/>
      <c r="O164">
        <v>3</v>
      </c>
      <c r="P164" s="2">
        <f>B164/O164</f>
        <v>34</v>
      </c>
      <c r="Q164" t="s">
        <v>1723</v>
      </c>
      <c r="R164" s="3">
        <f>P164*2</f>
        <v>68</v>
      </c>
      <c r="S164" t="s">
        <v>1727</v>
      </c>
    </row>
    <row r="165" spans="2:19" ht="12.75">
      <c r="B165" s="9">
        <v>108</v>
      </c>
      <c r="C165" s="2">
        <f t="shared" si="12"/>
        <v>3.8095879073520917</v>
      </c>
      <c r="D165" s="2">
        <f t="shared" si="13"/>
        <v>0.23809924420950573</v>
      </c>
      <c r="E165" t="s">
        <v>994</v>
      </c>
      <c r="F165" s="3"/>
      <c r="O165">
        <v>3</v>
      </c>
      <c r="P165" s="2">
        <f>B165/O165</f>
        <v>36</v>
      </c>
      <c r="Q165" t="s">
        <v>1723</v>
      </c>
      <c r="R165" s="3">
        <f>P165*2</f>
        <v>72</v>
      </c>
      <c r="S165" t="s">
        <v>1727</v>
      </c>
    </row>
    <row r="166" spans="2:6" ht="12.75">
      <c r="B166" s="9">
        <v>54</v>
      </c>
      <c r="C166" s="2">
        <f t="shared" si="12"/>
        <v>1.9047939536760459</v>
      </c>
      <c r="D166" s="2">
        <f t="shared" si="13"/>
        <v>0.11904962210475287</v>
      </c>
      <c r="E166" t="s">
        <v>992</v>
      </c>
      <c r="F166" s="3"/>
    </row>
    <row r="167" spans="2:6" ht="12.75">
      <c r="B167" s="9">
        <v>75</v>
      </c>
      <c r="C167" s="2">
        <f t="shared" si="12"/>
        <v>2.645547157883397</v>
      </c>
      <c r="D167" s="2">
        <f t="shared" si="13"/>
        <v>0.16534669736771232</v>
      </c>
      <c r="E167" s="2" t="s">
        <v>369</v>
      </c>
      <c r="F167" s="3"/>
    </row>
    <row r="168" spans="2:19" ht="12.75">
      <c r="B168" s="9">
        <v>129</v>
      </c>
      <c r="C168" s="2">
        <f t="shared" si="12"/>
        <v>4.550341111559443</v>
      </c>
      <c r="D168" s="2">
        <f t="shared" si="13"/>
        <v>0.2843963194724652</v>
      </c>
      <c r="E168" t="s">
        <v>1957</v>
      </c>
      <c r="F168" s="3" t="s">
        <v>368</v>
      </c>
      <c r="O168">
        <v>3</v>
      </c>
      <c r="P168" s="2">
        <f>B168/O168</f>
        <v>43</v>
      </c>
      <c r="Q168" t="s">
        <v>1723</v>
      </c>
      <c r="R168" s="3">
        <f>P168*2</f>
        <v>86</v>
      </c>
      <c r="S168" t="s">
        <v>1727</v>
      </c>
    </row>
    <row r="169" spans="2:18" ht="12.75">
      <c r="B169" s="9">
        <f>28.349523*C169</f>
        <v>175.76704260000002</v>
      </c>
      <c r="C169" s="2">
        <v>6.2</v>
      </c>
      <c r="D169" s="2"/>
      <c r="E169" t="s">
        <v>1943</v>
      </c>
      <c r="F169" s="3"/>
      <c r="O169">
        <v>3</v>
      </c>
      <c r="P169" s="2">
        <f>B169/O169</f>
        <v>58.58901420000001</v>
      </c>
      <c r="Q169" t="s">
        <v>1723</v>
      </c>
      <c r="R169" s="3"/>
    </row>
    <row r="170" spans="2:18" ht="12.75">
      <c r="B170" s="9"/>
      <c r="C170" s="2"/>
      <c r="D170" s="2"/>
      <c r="F170" s="3"/>
      <c r="P170" s="2"/>
      <c r="R170" s="3"/>
    </row>
    <row r="171" spans="2:5" ht="12.75">
      <c r="B171" s="9">
        <v>27</v>
      </c>
      <c r="C171" s="2">
        <f t="shared" si="12"/>
        <v>0.9523969768380229</v>
      </c>
      <c r="D171" s="2">
        <f t="shared" si="13"/>
        <v>0.05952481105237643</v>
      </c>
      <c r="E171" t="s">
        <v>1929</v>
      </c>
    </row>
    <row r="172" spans="2:5" ht="12.75">
      <c r="B172" s="9">
        <v>53</v>
      </c>
      <c r="C172" s="2">
        <f t="shared" si="12"/>
        <v>1.869519991570934</v>
      </c>
      <c r="D172" s="2">
        <f t="shared" si="13"/>
        <v>0.11684499947318337</v>
      </c>
      <c r="E172" t="s">
        <v>1310</v>
      </c>
    </row>
    <row r="173" spans="2:8" ht="12.75">
      <c r="B173" s="9">
        <v>22</v>
      </c>
      <c r="C173" s="2">
        <f>B173/28.349523</f>
        <v>0.7760271663124632</v>
      </c>
      <c r="D173" s="2">
        <f>C173/16</f>
        <v>0.04850169789452895</v>
      </c>
      <c r="E173" s="12" t="s">
        <v>1805</v>
      </c>
      <c r="F173" s="3"/>
      <c r="G173">
        <f>22/42</f>
        <v>0.5238095238095238</v>
      </c>
      <c r="H173" t="s">
        <v>1814</v>
      </c>
    </row>
    <row r="174" spans="2:6" ht="12.75">
      <c r="B174" s="9">
        <v>31</v>
      </c>
      <c r="C174" s="2">
        <f>B174/28.349523</f>
        <v>1.0934928252584708</v>
      </c>
      <c r="D174" s="2">
        <f>C174/16</f>
        <v>0.06834330157865443</v>
      </c>
      <c r="E174" s="12" t="s">
        <v>1218</v>
      </c>
      <c r="F174" s="3"/>
    </row>
    <row r="175" spans="2:5" ht="12.75">
      <c r="B175" s="9">
        <v>10</v>
      </c>
      <c r="C175" s="2">
        <f>B175/28.349523</f>
        <v>0.3527396210511196</v>
      </c>
      <c r="D175" s="2">
        <f>C175/16</f>
        <v>0.022046226315694976</v>
      </c>
      <c r="E175" s="12" t="s">
        <v>1034</v>
      </c>
    </row>
    <row r="176" spans="2:9" ht="12.75">
      <c r="B176" s="9">
        <v>20</v>
      </c>
      <c r="C176" s="2">
        <f>B176/28.349523</f>
        <v>0.7054792421022392</v>
      </c>
      <c r="D176" s="2">
        <f>C176/16</f>
        <v>0.04409245263138995</v>
      </c>
      <c r="E176" s="12" t="s">
        <v>80</v>
      </c>
      <c r="H176" s="2">
        <f>28.349523*0.25</f>
        <v>7.08738075</v>
      </c>
      <c r="I176" t="s">
        <v>81</v>
      </c>
    </row>
    <row r="177" spans="2:5" ht="12.75">
      <c r="B177" s="9">
        <v>14</v>
      </c>
      <c r="C177" s="2">
        <f>B177/28.349523</f>
        <v>0.4938354694715675</v>
      </c>
      <c r="D177" s="2">
        <f>C177/16</f>
        <v>0.030864716841972967</v>
      </c>
      <c r="E177" s="12" t="s">
        <v>82</v>
      </c>
    </row>
    <row r="178" spans="2:4" ht="12.75">
      <c r="B178" s="9"/>
      <c r="C178" s="2"/>
      <c r="D178" s="2"/>
    </row>
    <row r="179" spans="2:23" ht="12.75">
      <c r="B179" s="9">
        <v>348</v>
      </c>
      <c r="C179" s="2">
        <f aca="true" t="shared" si="16" ref="C179:C206">B179/28.349523</f>
        <v>12.275338812578962</v>
      </c>
      <c r="D179" s="2">
        <f aca="true" t="shared" si="17" ref="D179:D206">C179/16</f>
        <v>0.7672086757861851</v>
      </c>
      <c r="E179" t="s">
        <v>1442</v>
      </c>
      <c r="F179" s="3"/>
      <c r="K179" t="s">
        <v>1437</v>
      </c>
      <c r="U179" t="s">
        <v>1440</v>
      </c>
      <c r="W179" t="s">
        <v>1441</v>
      </c>
    </row>
    <row r="180" spans="2:23" ht="12.75">
      <c r="B180" s="9">
        <v>55</v>
      </c>
      <c r="C180" s="2">
        <f t="shared" si="16"/>
        <v>1.9400679157811578</v>
      </c>
      <c r="D180" s="2">
        <f t="shared" si="17"/>
        <v>0.12125424473632236</v>
      </c>
      <c r="E180" t="s">
        <v>1516</v>
      </c>
      <c r="F180" s="3"/>
      <c r="K180" t="s">
        <v>1437</v>
      </c>
      <c r="U180" t="s">
        <v>1440</v>
      </c>
      <c r="W180" t="s">
        <v>1441</v>
      </c>
    </row>
    <row r="181" spans="2:5" ht="12.75">
      <c r="B181" s="9">
        <v>243</v>
      </c>
      <c r="C181" s="2">
        <f>B181/28.349523</f>
        <v>8.571572791542206</v>
      </c>
      <c r="D181" s="2">
        <f>C181/16</f>
        <v>0.5357232994713879</v>
      </c>
      <c r="E181" s="4" t="s">
        <v>747</v>
      </c>
    </row>
    <row r="182" spans="2:6" ht="12.75">
      <c r="B182" s="9">
        <v>236</v>
      </c>
      <c r="C182" s="2">
        <f>B182/28.349523</f>
        <v>8.324655056806423</v>
      </c>
      <c r="D182" s="2">
        <f>C182/16</f>
        <v>0.5202909410504014</v>
      </c>
      <c r="E182" t="s">
        <v>2071</v>
      </c>
      <c r="F182" s="3"/>
    </row>
    <row r="183" spans="2:6" ht="12.75">
      <c r="B183" s="9">
        <v>266</v>
      </c>
      <c r="C183" s="2">
        <f t="shared" si="16"/>
        <v>9.382873919959781</v>
      </c>
      <c r="D183" s="2">
        <f t="shared" si="17"/>
        <v>0.5864296199974863</v>
      </c>
      <c r="E183" t="s">
        <v>1637</v>
      </c>
      <c r="F183" s="3"/>
    </row>
    <row r="184" spans="2:6" ht="12.75">
      <c r="B184" s="9">
        <v>88</v>
      </c>
      <c r="C184" s="2">
        <f t="shared" si="16"/>
        <v>3.1041086652498526</v>
      </c>
      <c r="D184" s="2">
        <f t="shared" si="17"/>
        <v>0.1940067915781158</v>
      </c>
      <c r="E184" t="s">
        <v>1178</v>
      </c>
      <c r="F184" s="3"/>
    </row>
    <row r="185" spans="2:8" ht="12.75">
      <c r="B185" s="9">
        <v>753</v>
      </c>
      <c r="C185" s="2">
        <f t="shared" si="16"/>
        <v>26.561293465149305</v>
      </c>
      <c r="D185" s="2">
        <f t="shared" si="17"/>
        <v>1.6600808415718316</v>
      </c>
      <c r="E185" t="s">
        <v>1606</v>
      </c>
      <c r="F185" s="3"/>
      <c r="H185" t="s">
        <v>681</v>
      </c>
    </row>
    <row r="186" spans="2:6" ht="12.75">
      <c r="B186" s="9">
        <f>B180+B179+B184</f>
        <v>491</v>
      </c>
      <c r="C186" s="2">
        <f t="shared" si="16"/>
        <v>17.319515393609972</v>
      </c>
      <c r="D186" s="2">
        <f t="shared" si="17"/>
        <v>1.0824697121006233</v>
      </c>
      <c r="E186" t="s">
        <v>1176</v>
      </c>
      <c r="F186" s="3"/>
    </row>
    <row r="187" spans="2:6" ht="12.75">
      <c r="B187" s="9">
        <f>B179+B180+B183</f>
        <v>669</v>
      </c>
      <c r="C187" s="2">
        <f t="shared" si="16"/>
        <v>23.598280648319903</v>
      </c>
      <c r="D187" s="2">
        <f t="shared" si="17"/>
        <v>1.474892540519994</v>
      </c>
      <c r="E187" t="s">
        <v>1177</v>
      </c>
      <c r="F187" s="3"/>
    </row>
    <row r="188" spans="2:6" ht="12.75">
      <c r="B188" s="9"/>
      <c r="C188" s="2"/>
      <c r="D188" s="2"/>
      <c r="F188" s="3"/>
    </row>
    <row r="189" spans="2:5" ht="12.75">
      <c r="B189" s="9">
        <v>354</v>
      </c>
      <c r="C189" s="2">
        <f t="shared" si="16"/>
        <v>12.486982585209635</v>
      </c>
      <c r="D189" s="2">
        <f t="shared" si="17"/>
        <v>0.7804364115756022</v>
      </c>
      <c r="E189" t="s">
        <v>1035</v>
      </c>
    </row>
    <row r="190" spans="2:6" ht="12.75">
      <c r="B190" s="9">
        <v>324</v>
      </c>
      <c r="C190" s="2">
        <f t="shared" si="16"/>
        <v>11.428763722056276</v>
      </c>
      <c r="D190" s="2">
        <f t="shared" si="17"/>
        <v>0.7142977326285173</v>
      </c>
      <c r="E190" t="s">
        <v>828</v>
      </c>
      <c r="F190" s="3"/>
    </row>
    <row r="191" spans="2:5" ht="12.75">
      <c r="B191" s="9">
        <v>229</v>
      </c>
      <c r="C191" s="2">
        <f t="shared" si="16"/>
        <v>8.07773732207064</v>
      </c>
      <c r="D191" s="2">
        <f t="shared" si="17"/>
        <v>0.504858582629415</v>
      </c>
      <c r="E191" t="s">
        <v>1505</v>
      </c>
    </row>
    <row r="192" spans="2:6" ht="12.75">
      <c r="B192" s="9">
        <v>220</v>
      </c>
      <c r="C192" s="2">
        <f t="shared" si="16"/>
        <v>7.760271663124631</v>
      </c>
      <c r="D192" s="2">
        <f t="shared" si="17"/>
        <v>0.48501697894528945</v>
      </c>
      <c r="E192" t="s">
        <v>2078</v>
      </c>
      <c r="F192" s="3"/>
    </row>
    <row r="193" spans="2:6" ht="12.75">
      <c r="B193" s="9">
        <v>207</v>
      </c>
      <c r="C193" s="2">
        <f t="shared" si="16"/>
        <v>7.301710155758176</v>
      </c>
      <c r="D193" s="2">
        <f t="shared" si="17"/>
        <v>0.456356884734886</v>
      </c>
      <c r="E193" t="s">
        <v>844</v>
      </c>
      <c r="F193" s="3"/>
    </row>
    <row r="194" spans="2:6" ht="12.75">
      <c r="B194" s="9">
        <v>197</v>
      </c>
      <c r="C194" s="2">
        <f t="shared" si="16"/>
        <v>6.9489705347070565</v>
      </c>
      <c r="D194" s="2">
        <f t="shared" si="17"/>
        <v>0.43431065841919103</v>
      </c>
      <c r="E194" t="s">
        <v>830</v>
      </c>
      <c r="F194" s="3"/>
    </row>
    <row r="195" spans="2:6" ht="12.75">
      <c r="B195" s="9">
        <v>167</v>
      </c>
      <c r="C195" s="2">
        <f t="shared" si="16"/>
        <v>5.890751671553698</v>
      </c>
      <c r="D195" s="2">
        <f t="shared" si="17"/>
        <v>0.3681719794721061</v>
      </c>
      <c r="E195" t="s">
        <v>843</v>
      </c>
      <c r="F195" s="3"/>
    </row>
    <row r="196" spans="2:6" ht="12.75">
      <c r="B196" s="9">
        <v>167</v>
      </c>
      <c r="C196" s="2">
        <f t="shared" si="16"/>
        <v>5.890751671553698</v>
      </c>
      <c r="D196" s="2">
        <f t="shared" si="17"/>
        <v>0.3681719794721061</v>
      </c>
      <c r="E196" t="s">
        <v>1605</v>
      </c>
      <c r="F196" s="3"/>
    </row>
    <row r="197" spans="2:6" ht="12.75">
      <c r="B197" s="9">
        <v>164</v>
      </c>
      <c r="C197" s="2">
        <f t="shared" si="16"/>
        <v>5.784929785238361</v>
      </c>
      <c r="D197" s="2">
        <f t="shared" si="17"/>
        <v>0.3615581115773976</v>
      </c>
      <c r="E197" t="s">
        <v>877</v>
      </c>
      <c r="F197" s="3"/>
    </row>
    <row r="198" spans="2:5" ht="12.75">
      <c r="B198" s="9">
        <v>163</v>
      </c>
      <c r="C198" s="2">
        <f t="shared" si="16"/>
        <v>5.749655823133249</v>
      </c>
      <c r="D198" s="2">
        <f t="shared" si="17"/>
        <v>0.3593534889458281</v>
      </c>
      <c r="E198" t="s">
        <v>1001</v>
      </c>
    </row>
    <row r="199" spans="2:5" ht="12.75">
      <c r="B199" s="9">
        <v>178</v>
      </c>
      <c r="C199" s="2">
        <f t="shared" si="16"/>
        <v>6.278765254709929</v>
      </c>
      <c r="D199" s="2">
        <f t="shared" si="17"/>
        <v>0.39242282841937054</v>
      </c>
      <c r="E199" t="s">
        <v>1225</v>
      </c>
    </row>
    <row r="200" spans="2:5" ht="12.75">
      <c r="B200" s="9">
        <v>125</v>
      </c>
      <c r="C200" s="2">
        <f t="shared" si="16"/>
        <v>4.409245263138995</v>
      </c>
      <c r="D200" s="2">
        <f t="shared" si="17"/>
        <v>0.2755778289461872</v>
      </c>
      <c r="E200" t="s">
        <v>1705</v>
      </c>
    </row>
    <row r="201" spans="2:6" ht="12.75">
      <c r="B201" s="9">
        <v>124</v>
      </c>
      <c r="C201" s="2">
        <f t="shared" si="16"/>
        <v>4.373971301033883</v>
      </c>
      <c r="D201" s="2">
        <f t="shared" si="17"/>
        <v>0.2733732063146177</v>
      </c>
      <c r="E201" t="s">
        <v>820</v>
      </c>
      <c r="F201" s="3"/>
    </row>
    <row r="202" spans="2:6" ht="12.75">
      <c r="B202" s="9">
        <v>120</v>
      </c>
      <c r="C202" s="2">
        <f t="shared" si="16"/>
        <v>4.232875452613436</v>
      </c>
      <c r="D202" s="2">
        <f t="shared" si="17"/>
        <v>0.2645547157883397</v>
      </c>
      <c r="E202" t="s">
        <v>243</v>
      </c>
      <c r="F202" s="3"/>
    </row>
    <row r="203" spans="2:5" ht="12.75">
      <c r="B203" s="9">
        <v>111</v>
      </c>
      <c r="C203" s="2">
        <f t="shared" si="16"/>
        <v>3.9154097936674277</v>
      </c>
      <c r="D203" s="2">
        <f t="shared" si="17"/>
        <v>0.24471311210421423</v>
      </c>
      <c r="E203" t="s">
        <v>97</v>
      </c>
    </row>
    <row r="204" spans="2:5" ht="12.75">
      <c r="B204" s="9">
        <v>107</v>
      </c>
      <c r="C204" s="2">
        <f t="shared" si="16"/>
        <v>3.7743139452469796</v>
      </c>
      <c r="D204" s="2">
        <f t="shared" si="17"/>
        <v>0.23589462157793623</v>
      </c>
      <c r="E204" t="s">
        <v>244</v>
      </c>
    </row>
    <row r="205" spans="1:6" ht="12.75">
      <c r="A205" t="s">
        <v>69</v>
      </c>
      <c r="B205" s="9">
        <v>90</v>
      </c>
      <c r="C205" s="2">
        <f t="shared" si="16"/>
        <v>3.1746565894600765</v>
      </c>
      <c r="D205" s="2">
        <f t="shared" si="17"/>
        <v>0.19841603684125478</v>
      </c>
      <c r="E205" t="s">
        <v>826</v>
      </c>
      <c r="F205" s="3"/>
    </row>
    <row r="206" spans="2:6" ht="12.75">
      <c r="B206" s="9">
        <v>113</v>
      </c>
      <c r="C206" s="2">
        <f t="shared" si="16"/>
        <v>3.9859577178776515</v>
      </c>
      <c r="D206" s="2">
        <f t="shared" si="17"/>
        <v>0.24912235736735322</v>
      </c>
      <c r="E206" t="s">
        <v>1828</v>
      </c>
      <c r="F206" t="s">
        <v>1829</v>
      </c>
    </row>
    <row r="207" spans="2:4" ht="12.75">
      <c r="B207" s="9"/>
      <c r="C207" s="2"/>
      <c r="D207" s="2"/>
    </row>
    <row r="208" spans="2:5" ht="12.75">
      <c r="B208" s="9">
        <v>18</v>
      </c>
      <c r="C208" s="2">
        <f>B208/28.349523</f>
        <v>0.6349313178920153</v>
      </c>
      <c r="D208" s="2">
        <f>C208/16</f>
        <v>0.039683207368250956</v>
      </c>
      <c r="E208" s="4" t="s">
        <v>1517</v>
      </c>
    </row>
    <row r="209" spans="2:5" ht="12.75">
      <c r="B209" s="9">
        <v>11</v>
      </c>
      <c r="C209" s="2">
        <f>B209/28.349523</f>
        <v>0.3880135831562316</v>
      </c>
      <c r="D209" s="2">
        <f>C209/16</f>
        <v>0.024250848947264474</v>
      </c>
      <c r="E209" s="4" t="s">
        <v>727</v>
      </c>
    </row>
    <row r="210" spans="2:5" ht="12.75">
      <c r="B210" s="9"/>
      <c r="C210" s="2">
        <v>8</v>
      </c>
      <c r="D210" s="2"/>
      <c r="E210" s="4" t="s">
        <v>1477</v>
      </c>
    </row>
    <row r="212" spans="2:6" ht="12.75">
      <c r="B212" s="16">
        <v>15</v>
      </c>
      <c r="C212" s="2">
        <f aca="true" t="shared" si="18" ref="C212:C220">B212/28.349523</f>
        <v>0.5291094315766794</v>
      </c>
      <c r="D212" s="2"/>
      <c r="E212" s="4" t="s">
        <v>2069</v>
      </c>
      <c r="F212" s="3"/>
    </row>
    <row r="213" spans="2:6" ht="12.75">
      <c r="B213" s="9">
        <v>18</v>
      </c>
      <c r="C213" s="2">
        <f t="shared" si="18"/>
        <v>0.6349313178920153</v>
      </c>
      <c r="D213" s="2"/>
      <c r="E213" s="12" t="s">
        <v>2073</v>
      </c>
      <c r="F213" s="3"/>
    </row>
    <row r="214" spans="2:6" ht="12.75">
      <c r="B214" s="16">
        <v>32</v>
      </c>
      <c r="C214" s="2">
        <f t="shared" si="18"/>
        <v>1.1287667873635827</v>
      </c>
      <c r="D214" s="2"/>
      <c r="E214" s="4" t="s">
        <v>64</v>
      </c>
      <c r="F214" s="3"/>
    </row>
    <row r="215" spans="2:6" ht="12.75">
      <c r="B215" s="16">
        <v>37</v>
      </c>
      <c r="C215" s="2">
        <f t="shared" si="18"/>
        <v>1.3051365978891425</v>
      </c>
      <c r="D215" s="2"/>
      <c r="E215" s="4" t="s">
        <v>792</v>
      </c>
      <c r="F215" s="3"/>
    </row>
    <row r="216" spans="1:34" ht="12.75">
      <c r="A216" s="92"/>
      <c r="B216" s="92">
        <v>55</v>
      </c>
      <c r="C216" s="94">
        <f t="shared" si="18"/>
        <v>1.9400679157811578</v>
      </c>
      <c r="D216" s="94"/>
      <c r="E216" s="92" t="s">
        <v>510</v>
      </c>
      <c r="F216" s="92"/>
      <c r="G216" s="92"/>
      <c r="H216" s="139"/>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c r="AG216" s="92"/>
      <c r="AH216" s="92"/>
    </row>
    <row r="217" spans="2:5" ht="12.75">
      <c r="B217" s="16">
        <v>58</v>
      </c>
      <c r="C217" s="2">
        <f t="shared" si="18"/>
        <v>2.0458898020964935</v>
      </c>
      <c r="D217" s="2"/>
      <c r="E217" s="4" t="s">
        <v>228</v>
      </c>
    </row>
    <row r="218" spans="2:5" ht="12.75">
      <c r="B218" s="16">
        <v>107</v>
      </c>
      <c r="C218" s="2">
        <f t="shared" si="18"/>
        <v>3.7743139452469796</v>
      </c>
      <c r="D218" s="2">
        <f>C218/16</f>
        <v>0.23589462157793623</v>
      </c>
      <c r="E218" s="4" t="s">
        <v>229</v>
      </c>
    </row>
    <row r="219" spans="2:5" ht="12.75">
      <c r="B219" s="16">
        <v>135</v>
      </c>
      <c r="C219" s="2">
        <f t="shared" si="18"/>
        <v>4.761984884190115</v>
      </c>
      <c r="D219" s="2">
        <f>C219/16</f>
        <v>0.2976240552618822</v>
      </c>
      <c r="E219" s="4" t="s">
        <v>230</v>
      </c>
    </row>
    <row r="220" spans="2:6" ht="12.75">
      <c r="B220" s="16">
        <v>166</v>
      </c>
      <c r="C220" s="2">
        <f t="shared" si="18"/>
        <v>5.855477709448586</v>
      </c>
      <c r="D220" s="2">
        <f>C220/16</f>
        <v>0.3659673568405366</v>
      </c>
      <c r="E220" s="4" t="s">
        <v>2146</v>
      </c>
      <c r="F220" s="3"/>
    </row>
    <row r="222" spans="2:6" ht="12.75">
      <c r="B222" s="16">
        <v>7</v>
      </c>
      <c r="C222" s="2">
        <f>B222/28.349523</f>
        <v>0.24691773473578374</v>
      </c>
      <c r="D222" s="2"/>
      <c r="E222" s="4" t="s">
        <v>683</v>
      </c>
      <c r="F222" s="3"/>
    </row>
    <row r="223" spans="1:6" ht="12.75">
      <c r="A223" s="7" t="s">
        <v>688</v>
      </c>
      <c r="B223" s="16">
        <v>263</v>
      </c>
      <c r="C223" s="2">
        <f>B223/28.349523</f>
        <v>9.277052033644445</v>
      </c>
      <c r="D223" s="2">
        <f>C223/16</f>
        <v>0.5798157521027778</v>
      </c>
      <c r="E223" s="4" t="s">
        <v>684</v>
      </c>
      <c r="F223" s="3"/>
    </row>
    <row r="224" spans="1:6" ht="12.75">
      <c r="A224" s="7"/>
      <c r="B224" s="16">
        <v>256</v>
      </c>
      <c r="C224" s="2">
        <f>B224/28.349523</f>
        <v>9.030134298908662</v>
      </c>
      <c r="D224" s="2">
        <f>C224/16</f>
        <v>0.5643833936817914</v>
      </c>
      <c r="E224" s="4" t="s">
        <v>685</v>
      </c>
      <c r="F224" s="3"/>
    </row>
    <row r="225" spans="1:6" ht="12.75">
      <c r="A225" s="7"/>
      <c r="B225" s="16">
        <f>B224+B226</f>
        <v>368</v>
      </c>
      <c r="C225" s="2">
        <f>B225/28.349523</f>
        <v>12.980818054681201</v>
      </c>
      <c r="D225" s="2">
        <f>C225/16</f>
        <v>0.8113011284175751</v>
      </c>
      <c r="E225" s="4" t="s">
        <v>689</v>
      </c>
      <c r="F225" s="3"/>
    </row>
    <row r="226" spans="2:6" ht="12.75">
      <c r="B226" s="9">
        <f>112</f>
        <v>112</v>
      </c>
      <c r="C226" s="2">
        <f>B226/28.349523</f>
        <v>3.95068375577254</v>
      </c>
      <c r="D226" s="2">
        <f>C226/16</f>
        <v>0.24691773473578374</v>
      </c>
      <c r="E226" t="s">
        <v>1977</v>
      </c>
      <c r="F226" s="3"/>
    </row>
    <row r="227" spans="2:6" ht="12.75">
      <c r="B227" s="9"/>
      <c r="C227" s="2"/>
      <c r="D227" s="2"/>
      <c r="F227" s="3"/>
    </row>
    <row r="228" spans="2:5" ht="12.75">
      <c r="B228">
        <v>18</v>
      </c>
      <c r="C228" s="2">
        <f>B228/28.349523</f>
        <v>0.6349313178920153</v>
      </c>
      <c r="E228" s="4" t="s">
        <v>432</v>
      </c>
    </row>
    <row r="229" spans="2:5" ht="12.75">
      <c r="B229" s="9">
        <v>19</v>
      </c>
      <c r="C229" s="2">
        <f>B229/28.349523</f>
        <v>0.6702052799971272</v>
      </c>
      <c r="D229" s="2"/>
      <c r="E229" t="s">
        <v>1495</v>
      </c>
    </row>
    <row r="230" spans="2:5" ht="12.75">
      <c r="B230" s="16">
        <v>44</v>
      </c>
      <c r="C230" s="2">
        <f>B230/28.349523</f>
        <v>1.5520543326249263</v>
      </c>
      <c r="D230" s="2"/>
      <c r="E230" s="6" t="s">
        <v>1204</v>
      </c>
    </row>
    <row r="231" spans="2:5" ht="12.75">
      <c r="B231" s="16">
        <v>51</v>
      </c>
      <c r="C231" s="2">
        <f aca="true" t="shared" si="19" ref="C231:C242">B231/28.349523</f>
        <v>1.79897206736071</v>
      </c>
      <c r="D231" s="2"/>
      <c r="E231" s="6" t="s">
        <v>1205</v>
      </c>
    </row>
    <row r="232" spans="2:5" ht="12.75">
      <c r="B232" s="9">
        <v>50</v>
      </c>
      <c r="C232" s="2">
        <f t="shared" si="19"/>
        <v>1.763698105255598</v>
      </c>
      <c r="D232" s="2"/>
      <c r="E232" t="s">
        <v>1070</v>
      </c>
    </row>
    <row r="233" spans="2:5" ht="12.75">
      <c r="B233" s="9">
        <v>66</v>
      </c>
      <c r="C233" s="2">
        <f t="shared" si="19"/>
        <v>2.3280814989373892</v>
      </c>
      <c r="D233" s="2"/>
      <c r="E233" t="s">
        <v>682</v>
      </c>
    </row>
    <row r="234" spans="2:5" ht="12.75">
      <c r="B234">
        <v>70</v>
      </c>
      <c r="C234" s="2">
        <f t="shared" si="19"/>
        <v>2.4691773473578373</v>
      </c>
      <c r="D234" s="2">
        <f aca="true" t="shared" si="20" ref="D234:D242">C234/16</f>
        <v>0.15432358420986483</v>
      </c>
      <c r="E234" s="4" t="s">
        <v>1269</v>
      </c>
    </row>
    <row r="235" spans="2:5" ht="12.75">
      <c r="B235" s="9">
        <v>71</v>
      </c>
      <c r="C235" s="2">
        <f t="shared" si="19"/>
        <v>2.504451309462949</v>
      </c>
      <c r="D235" s="2">
        <f t="shared" si="20"/>
        <v>0.15652820684143431</v>
      </c>
      <c r="E235" t="s">
        <v>829</v>
      </c>
    </row>
    <row r="236" spans="2:5" ht="12.75">
      <c r="B236" s="9">
        <v>76</v>
      </c>
      <c r="C236" s="2">
        <f t="shared" si="19"/>
        <v>2.680821119988509</v>
      </c>
      <c r="D236" s="2">
        <f t="shared" si="20"/>
        <v>0.1675513199992818</v>
      </c>
      <c r="E236" t="s">
        <v>831</v>
      </c>
    </row>
    <row r="237" spans="2:5" ht="12.75">
      <c r="B237" s="9">
        <v>86</v>
      </c>
      <c r="C237" s="2">
        <f t="shared" si="19"/>
        <v>3.033560741039629</v>
      </c>
      <c r="D237" s="2">
        <f t="shared" si="20"/>
        <v>0.1895975463149768</v>
      </c>
      <c r="E237" t="s">
        <v>713</v>
      </c>
    </row>
    <row r="238" spans="2:5" ht="12.75">
      <c r="B238" s="9">
        <v>91</v>
      </c>
      <c r="C238" s="2">
        <f t="shared" si="19"/>
        <v>3.2099305515651886</v>
      </c>
      <c r="D238" s="2">
        <f t="shared" si="20"/>
        <v>0.2006206594728243</v>
      </c>
      <c r="E238" t="s">
        <v>227</v>
      </c>
    </row>
    <row r="239" spans="2:5" ht="12.75">
      <c r="B239" s="9">
        <v>96</v>
      </c>
      <c r="C239" s="2">
        <f t="shared" si="19"/>
        <v>3.3863003620907484</v>
      </c>
      <c r="D239" s="2">
        <f t="shared" si="20"/>
        <v>0.21164377263067177</v>
      </c>
      <c r="E239" s="11" t="s">
        <v>1206</v>
      </c>
    </row>
    <row r="240" spans="2:5" ht="12.75">
      <c r="B240" s="9">
        <v>132</v>
      </c>
      <c r="C240" s="2">
        <f t="shared" si="19"/>
        <v>4.6561629978747785</v>
      </c>
      <c r="D240" s="2">
        <f t="shared" si="20"/>
        <v>0.29101018736717366</v>
      </c>
      <c r="E240" s="11" t="s">
        <v>226</v>
      </c>
    </row>
    <row r="241" spans="2:5" ht="12.75">
      <c r="B241" s="9">
        <v>138</v>
      </c>
      <c r="C241" s="2">
        <f t="shared" si="19"/>
        <v>4.86780677050545</v>
      </c>
      <c r="D241" s="2">
        <f t="shared" si="20"/>
        <v>0.30423792315659065</v>
      </c>
      <c r="E241" s="11" t="s">
        <v>224</v>
      </c>
    </row>
    <row r="242" spans="2:5" ht="12.75">
      <c r="B242" s="9">
        <v>146</v>
      </c>
      <c r="C242" s="2">
        <f t="shared" si="19"/>
        <v>5.149998467346347</v>
      </c>
      <c r="D242" s="2">
        <f t="shared" si="20"/>
        <v>0.32187490420914666</v>
      </c>
      <c r="E242" t="s">
        <v>712</v>
      </c>
    </row>
    <row r="243" spans="2:4" ht="12.75">
      <c r="B243" s="9"/>
      <c r="C243" s="2"/>
      <c r="D243" s="2"/>
    </row>
    <row r="244" spans="2:6" ht="12.75">
      <c r="B244" s="9">
        <v>457</v>
      </c>
      <c r="C244" s="2">
        <f aca="true" t="shared" si="21" ref="C244:C267">B244/28.349523</f>
        <v>16.120200682036167</v>
      </c>
      <c r="D244" s="2">
        <f>C244/16</f>
        <v>1.0075125426272604</v>
      </c>
      <c r="E244" t="s">
        <v>1231</v>
      </c>
      <c r="F244" s="3"/>
    </row>
    <row r="245" spans="2:5" ht="12.75">
      <c r="B245" s="9"/>
      <c r="C245" s="2"/>
      <c r="D245" s="2"/>
      <c r="E245" s="11"/>
    </row>
    <row r="246" spans="2:6" ht="12.75">
      <c r="B246" s="9">
        <v>35</v>
      </c>
      <c r="C246" s="2">
        <f t="shared" si="21"/>
        <v>1.2345886736789187</v>
      </c>
      <c r="D246" s="2"/>
      <c r="E246" t="s">
        <v>1412</v>
      </c>
      <c r="F246" s="3"/>
    </row>
    <row r="247" spans="2:6" ht="12.75">
      <c r="B247" s="9">
        <f>117/3</f>
        <v>39</v>
      </c>
      <c r="C247" s="2">
        <f t="shared" si="21"/>
        <v>1.3756845220993665</v>
      </c>
      <c r="D247" s="2"/>
      <c r="E247" t="s">
        <v>707</v>
      </c>
      <c r="F247" s="3"/>
    </row>
    <row r="248" spans="2:6" ht="12.75">
      <c r="B248" s="9">
        <v>39</v>
      </c>
      <c r="C248" s="2">
        <f t="shared" si="21"/>
        <v>1.3756845220993665</v>
      </c>
      <c r="D248" s="2"/>
      <c r="E248" t="s">
        <v>832</v>
      </c>
      <c r="F248" s="3"/>
    </row>
    <row r="249" spans="2:6" ht="12.75">
      <c r="B249" s="9">
        <v>54</v>
      </c>
      <c r="C249" s="2">
        <f t="shared" si="21"/>
        <v>1.9047939536760459</v>
      </c>
      <c r="D249" s="2"/>
      <c r="E249" t="s">
        <v>833</v>
      </c>
      <c r="F249" s="3"/>
    </row>
    <row r="250" spans="2:6" ht="12.75">
      <c r="B250" s="9">
        <v>46</v>
      </c>
      <c r="C250" s="2">
        <f t="shared" si="21"/>
        <v>1.6226022568351501</v>
      </c>
      <c r="D250" s="2"/>
      <c r="E250" t="s">
        <v>834</v>
      </c>
      <c r="F250" s="3"/>
    </row>
    <row r="251" spans="2:6" ht="12.75">
      <c r="B251" s="9">
        <v>46</v>
      </c>
      <c r="C251" s="2">
        <f t="shared" si="21"/>
        <v>1.6226022568351501</v>
      </c>
      <c r="D251" s="2"/>
      <c r="E251" t="s">
        <v>836</v>
      </c>
      <c r="F251" s="3"/>
    </row>
    <row r="252" spans="2:6" ht="12.75">
      <c r="B252" s="9">
        <v>57</v>
      </c>
      <c r="C252" s="2">
        <f t="shared" si="21"/>
        <v>2.010615839991382</v>
      </c>
      <c r="D252" s="2"/>
      <c r="E252" t="s">
        <v>835</v>
      </c>
      <c r="F252" s="3"/>
    </row>
    <row r="253" spans="2:6" ht="12.75">
      <c r="B253" s="9">
        <v>57</v>
      </c>
      <c r="C253" s="2">
        <f t="shared" si="21"/>
        <v>2.010615839991382</v>
      </c>
      <c r="D253" s="2"/>
      <c r="E253" t="s">
        <v>837</v>
      </c>
      <c r="F253" s="3"/>
    </row>
    <row r="254" spans="2:4" ht="12.75">
      <c r="B254" s="9"/>
      <c r="C254" s="2"/>
      <c r="D254" s="2"/>
    </row>
    <row r="255" spans="2:6" ht="12.75">
      <c r="B255" s="9">
        <v>84</v>
      </c>
      <c r="C255" s="2">
        <f>B255/28.349523</f>
        <v>2.9630128168294045</v>
      </c>
      <c r="D255" s="2">
        <f>C255/16</f>
        <v>0.18518830105183778</v>
      </c>
      <c r="E255" t="s">
        <v>2006</v>
      </c>
      <c r="F255" s="3"/>
    </row>
    <row r="256" spans="2:5" ht="12.75">
      <c r="B256" s="9">
        <v>157</v>
      </c>
      <c r="C256" s="2">
        <f>B256/28.349523</f>
        <v>5.538012050502578</v>
      </c>
      <c r="D256" s="2">
        <f>C256/16</f>
        <v>0.34612575315641114</v>
      </c>
      <c r="E256" t="s">
        <v>879</v>
      </c>
    </row>
    <row r="257" spans="2:6" ht="12.75">
      <c r="B257" s="9"/>
      <c r="C257" s="2"/>
      <c r="D257" s="2"/>
      <c r="F257" s="3"/>
    </row>
    <row r="258" spans="2:6" ht="12.75">
      <c r="B258" s="9">
        <f>164/2</f>
        <v>82</v>
      </c>
      <c r="C258" s="2">
        <f>B258/28.349523</f>
        <v>2.8924648926191807</v>
      </c>
      <c r="D258" s="2">
        <f>C258/16</f>
        <v>0.1807790557886988</v>
      </c>
      <c r="E258" t="s">
        <v>1226</v>
      </c>
      <c r="F258" s="3"/>
    </row>
    <row r="259" spans="2:6" ht="12.75">
      <c r="B259" s="9">
        <v>90</v>
      </c>
      <c r="C259" s="2">
        <f>B259/28.349523</f>
        <v>3.1746565894600765</v>
      </c>
      <c r="D259" s="2">
        <f>C259/16</f>
        <v>0.19841603684125478</v>
      </c>
      <c r="E259" t="s">
        <v>1227</v>
      </c>
      <c r="F259" s="3"/>
    </row>
    <row r="260" spans="2:6" ht="12.75">
      <c r="B260" s="9"/>
      <c r="C260" s="2"/>
      <c r="D260" s="2"/>
      <c r="F260" s="3"/>
    </row>
    <row r="261" spans="2:6" ht="12.75">
      <c r="B261" s="9">
        <v>131</v>
      </c>
      <c r="C261" s="2">
        <f t="shared" si="21"/>
        <v>4.620889035769667</v>
      </c>
      <c r="D261" s="2">
        <f aca="true" t="shared" si="22" ref="D261:D267">C261/16</f>
        <v>0.2888055647356042</v>
      </c>
      <c r="E261" t="s">
        <v>215</v>
      </c>
      <c r="F261" s="3"/>
    </row>
    <row r="262" spans="2:6" ht="12.75">
      <c r="B262" s="9">
        <v>128</v>
      </c>
      <c r="C262" s="2">
        <f t="shared" si="21"/>
        <v>4.515067149454331</v>
      </c>
      <c r="D262" s="2">
        <f t="shared" si="22"/>
        <v>0.2821916968408957</v>
      </c>
      <c r="E262" t="s">
        <v>214</v>
      </c>
      <c r="F262" s="3"/>
    </row>
    <row r="263" spans="2:6" ht="12.75">
      <c r="B263" s="9">
        <v>47</v>
      </c>
      <c r="C263" s="2">
        <f t="shared" si="21"/>
        <v>1.6578762189402623</v>
      </c>
      <c r="D263" s="2">
        <f t="shared" si="22"/>
        <v>0.10361726368376639</v>
      </c>
      <c r="E263" t="s">
        <v>1718</v>
      </c>
      <c r="F263" s="3"/>
    </row>
    <row r="264" spans="2:6" ht="12.75">
      <c r="B264" s="9">
        <v>146</v>
      </c>
      <c r="C264" s="2">
        <f t="shared" si="21"/>
        <v>5.149998467346347</v>
      </c>
      <c r="D264" s="2">
        <f t="shared" si="22"/>
        <v>0.32187490420914666</v>
      </c>
      <c r="E264" t="s">
        <v>1464</v>
      </c>
      <c r="F264" s="3"/>
    </row>
    <row r="265" spans="2:6" ht="12.75">
      <c r="B265" s="9">
        <v>145</v>
      </c>
      <c r="C265" s="2">
        <f t="shared" si="21"/>
        <v>5.1147245052412345</v>
      </c>
      <c r="D265" s="2">
        <f t="shared" si="22"/>
        <v>0.31967028157757715</v>
      </c>
      <c r="E265" t="s">
        <v>1783</v>
      </c>
      <c r="F265" s="3"/>
    </row>
    <row r="266" spans="2:5" ht="12.75">
      <c r="B266" s="9">
        <v>87</v>
      </c>
      <c r="C266" s="2">
        <f t="shared" si="21"/>
        <v>3.0688347031447405</v>
      </c>
      <c r="D266" s="2">
        <f t="shared" si="22"/>
        <v>0.19180216894654628</v>
      </c>
      <c r="E266" t="s">
        <v>1721</v>
      </c>
    </row>
    <row r="267" spans="2:5" ht="12.75">
      <c r="B267" s="9">
        <v>30</v>
      </c>
      <c r="C267" s="2">
        <f t="shared" si="21"/>
        <v>1.058218863153359</v>
      </c>
      <c r="D267" s="2">
        <f t="shared" si="22"/>
        <v>0.06613867894708493</v>
      </c>
      <c r="E267" t="s">
        <v>1728</v>
      </c>
    </row>
    <row r="268" spans="2:5" ht="12.75">
      <c r="B268" s="9">
        <v>20</v>
      </c>
      <c r="C268" s="2">
        <f aca="true" t="shared" si="23" ref="C268:C277">B268/28.349523</f>
        <v>0.7054792421022392</v>
      </c>
      <c r="D268" s="2"/>
      <c r="E268" t="s">
        <v>1432</v>
      </c>
    </row>
    <row r="269" spans="2:6" ht="12.75">
      <c r="B269" s="9">
        <v>57</v>
      </c>
      <c r="C269" s="2">
        <f t="shared" si="23"/>
        <v>2.010615839991382</v>
      </c>
      <c r="D269" s="2"/>
      <c r="E269" t="s">
        <v>439</v>
      </c>
      <c r="F269" s="3"/>
    </row>
    <row r="270" spans="2:6" ht="12.75">
      <c r="B270" s="9">
        <v>57</v>
      </c>
      <c r="C270" s="2">
        <f t="shared" si="23"/>
        <v>2.010615839991382</v>
      </c>
      <c r="D270" s="2"/>
      <c r="E270" t="s">
        <v>838</v>
      </c>
      <c r="F270" s="3"/>
    </row>
    <row r="271" spans="1:5" ht="12.75">
      <c r="A271" s="92"/>
      <c r="B271" s="93">
        <v>19</v>
      </c>
      <c r="C271" s="94">
        <f t="shared" si="23"/>
        <v>0.6702052799971272</v>
      </c>
      <c r="D271" s="94"/>
      <c r="E271" s="12" t="s">
        <v>1471</v>
      </c>
    </row>
    <row r="272" spans="1:5" ht="12.75">
      <c r="A272" s="92"/>
      <c r="B272" s="93">
        <v>30</v>
      </c>
      <c r="C272" s="94">
        <f t="shared" si="23"/>
        <v>1.058218863153359</v>
      </c>
      <c r="D272" s="94"/>
      <c r="E272" s="95" t="s">
        <v>475</v>
      </c>
    </row>
    <row r="273" spans="1:5" ht="12.75">
      <c r="A273" s="92"/>
      <c r="B273" s="93">
        <v>3</v>
      </c>
      <c r="C273" s="94">
        <f t="shared" si="23"/>
        <v>0.10582188631533589</v>
      </c>
      <c r="D273" s="94"/>
      <c r="E273" s="95" t="s">
        <v>1290</v>
      </c>
    </row>
    <row r="274" spans="2:6" ht="12.75">
      <c r="B274" s="9">
        <v>279</v>
      </c>
      <c r="C274" s="2">
        <f t="shared" si="23"/>
        <v>9.841435427326237</v>
      </c>
      <c r="D274" s="2">
        <f>C274/16</f>
        <v>0.6150897142078898</v>
      </c>
      <c r="E274" t="s">
        <v>1493</v>
      </c>
      <c r="F274" s="3"/>
    </row>
    <row r="275" spans="2:6" ht="12.75">
      <c r="B275" s="9">
        <v>267</v>
      </c>
      <c r="C275" s="2">
        <f t="shared" si="23"/>
        <v>9.418147882064893</v>
      </c>
      <c r="D275" s="2">
        <f>C275/16</f>
        <v>0.5886342426290558</v>
      </c>
      <c r="E275" t="s">
        <v>98</v>
      </c>
      <c r="F275" s="3"/>
    </row>
    <row r="276" spans="2:6" ht="12.75">
      <c r="B276" s="9">
        <v>91</v>
      </c>
      <c r="C276" s="2">
        <f t="shared" si="23"/>
        <v>3.2099305515651886</v>
      </c>
      <c r="D276" s="2">
        <f>C276/16</f>
        <v>0.2006206594728243</v>
      </c>
      <c r="E276" t="s">
        <v>2079</v>
      </c>
      <c r="F276" s="3"/>
    </row>
    <row r="277" spans="2:6" ht="12.75">
      <c r="B277" s="9">
        <v>177</v>
      </c>
      <c r="C277" s="2">
        <f t="shared" si="23"/>
        <v>6.243491292604817</v>
      </c>
      <c r="D277" s="2">
        <f>C277/16</f>
        <v>0.3902182057878011</v>
      </c>
      <c r="E277" t="s">
        <v>2080</v>
      </c>
      <c r="F277" s="3"/>
    </row>
    <row r="278" spans="2:6" ht="12.75">
      <c r="B278" s="9"/>
      <c r="C278" s="2"/>
      <c r="D278" s="2"/>
      <c r="F278" s="3"/>
    </row>
    <row r="279" spans="2:6" ht="12.75">
      <c r="B279" s="9">
        <v>262</v>
      </c>
      <c r="C279" s="2">
        <f>B279/28.349523</f>
        <v>9.241778071539335</v>
      </c>
      <c r="D279" s="2">
        <f>C279/16</f>
        <v>0.5776111294712084</v>
      </c>
      <c r="E279" t="s">
        <v>1480</v>
      </c>
      <c r="F279" s="3"/>
    </row>
    <row r="280" spans="2:6" ht="12.75">
      <c r="B280" s="9">
        <v>87</v>
      </c>
      <c r="C280" s="2">
        <f>B280/28.349523</f>
        <v>3.0688347031447405</v>
      </c>
      <c r="D280" s="2">
        <f>C280/16</f>
        <v>0.19180216894654628</v>
      </c>
      <c r="E280" t="s">
        <v>373</v>
      </c>
      <c r="F280" s="3"/>
    </row>
    <row r="281" spans="2:6" ht="12.75">
      <c r="B281" s="9">
        <v>175</v>
      </c>
      <c r="C281" s="2">
        <f>B281/28.349523</f>
        <v>6.172943368394593</v>
      </c>
      <c r="D281" s="2">
        <f>C281/16</f>
        <v>0.38580896052466207</v>
      </c>
      <c r="E281" t="s">
        <v>374</v>
      </c>
      <c r="F281" s="3"/>
    </row>
    <row r="282" spans="2:6" ht="12.75">
      <c r="B282" s="9"/>
      <c r="C282" s="2"/>
      <c r="D282" s="2"/>
      <c r="F282" s="3"/>
    </row>
    <row r="283" spans="2:6" ht="12.75">
      <c r="B283" s="9"/>
      <c r="C283" s="2"/>
      <c r="D283" s="2"/>
      <c r="F283" s="3"/>
    </row>
    <row r="284" spans="2:6" ht="12.75">
      <c r="B284" s="9">
        <v>219</v>
      </c>
      <c r="C284" s="2">
        <f aca="true" t="shared" si="24" ref="C284:C290">B284/28.349523</f>
        <v>7.724997701019519</v>
      </c>
      <c r="D284" s="2">
        <f aca="true" t="shared" si="25" ref="D284:D290">C284/16</f>
        <v>0.48281235631371994</v>
      </c>
      <c r="E284" t="s">
        <v>1048</v>
      </c>
      <c r="F284" s="3"/>
    </row>
    <row r="285" spans="2:6" ht="12.75">
      <c r="B285" s="9">
        <v>238</v>
      </c>
      <c r="C285" s="2">
        <f t="shared" si="24"/>
        <v>8.395202981016647</v>
      </c>
      <c r="D285" s="2">
        <f t="shared" si="25"/>
        <v>0.5247001863135404</v>
      </c>
      <c r="E285" t="s">
        <v>793</v>
      </c>
      <c r="F285" s="3"/>
    </row>
    <row r="286" spans="2:6" ht="12.75">
      <c r="B286" s="9">
        <f>B284+B259</f>
        <v>309</v>
      </c>
      <c r="C286" s="2">
        <f t="shared" si="24"/>
        <v>10.899654290479596</v>
      </c>
      <c r="D286" s="2">
        <f t="shared" si="25"/>
        <v>0.6812283931549747</v>
      </c>
      <c r="E286" t="s">
        <v>794</v>
      </c>
      <c r="F286" s="3"/>
    </row>
    <row r="287" spans="2:5" ht="12.75">
      <c r="B287" s="9">
        <f>B279+B247</f>
        <v>301</v>
      </c>
      <c r="C287" s="2">
        <f t="shared" si="24"/>
        <v>10.6174625936387</v>
      </c>
      <c r="D287" s="2">
        <f t="shared" si="25"/>
        <v>0.6635914121024188</v>
      </c>
      <c r="E287" t="s">
        <v>795</v>
      </c>
    </row>
    <row r="288" spans="2:17" ht="12.75">
      <c r="B288" s="9">
        <v>35</v>
      </c>
      <c r="C288" s="2">
        <f t="shared" si="24"/>
        <v>1.2345886736789187</v>
      </c>
      <c r="D288" s="2">
        <f t="shared" si="25"/>
        <v>0.07716179210493242</v>
      </c>
      <c r="E288" s="12" t="s">
        <v>321</v>
      </c>
      <c r="F288" s="3"/>
      <c r="N288" s="9"/>
      <c r="O288" s="2"/>
      <c r="P288" s="2"/>
      <c r="Q288" s="12"/>
    </row>
    <row r="289" spans="2:17" ht="12.75">
      <c r="B289" s="9">
        <v>141</v>
      </c>
      <c r="C289" s="2">
        <f t="shared" si="24"/>
        <v>4.973628656820787</v>
      </c>
      <c r="D289" s="2">
        <f t="shared" si="25"/>
        <v>0.3108517910512992</v>
      </c>
      <c r="E289" s="12" t="s">
        <v>1172</v>
      </c>
      <c r="N289" s="9"/>
      <c r="O289" s="2"/>
      <c r="P289" s="2"/>
      <c r="Q289" s="12"/>
    </row>
    <row r="290" spans="2:5" ht="12.75">
      <c r="B290" s="9">
        <v>55</v>
      </c>
      <c r="C290" s="2">
        <f t="shared" si="24"/>
        <v>1.9400679157811578</v>
      </c>
      <c r="D290" s="2">
        <f t="shared" si="25"/>
        <v>0.12125424473632236</v>
      </c>
      <c r="E290" s="12" t="s">
        <v>319</v>
      </c>
    </row>
    <row r="291" spans="2:4" ht="12.75">
      <c r="B291" s="9"/>
      <c r="C291" s="2"/>
      <c r="D291" s="2"/>
    </row>
    <row r="292" spans="2:4" ht="12.75">
      <c r="B292" s="9"/>
      <c r="C292" s="2"/>
      <c r="D292" s="2"/>
    </row>
    <row r="293" spans="2:4" ht="12.75">
      <c r="B293" s="9"/>
      <c r="C293" s="2"/>
      <c r="D293" s="2"/>
    </row>
    <row r="294" spans="2:6" ht="12.75">
      <c r="B294" s="9">
        <v>6</v>
      </c>
      <c r="C294" s="2">
        <f>B294/28.349523</f>
        <v>0.21164377263067177</v>
      </c>
      <c r="D294" s="2">
        <f>C294/16</f>
        <v>0.013227735789416986</v>
      </c>
      <c r="E294" s="12" t="s">
        <v>300</v>
      </c>
      <c r="F294" s="2"/>
    </row>
    <row r="295" spans="2:6" ht="12.75">
      <c r="B295" s="9">
        <v>4</v>
      </c>
      <c r="C295" s="2">
        <f>B295/28.349523</f>
        <v>0.14109584842044784</v>
      </c>
      <c r="D295" s="2">
        <f>C295/16</f>
        <v>0.00881849052627799</v>
      </c>
      <c r="E295" s="12" t="s">
        <v>1500</v>
      </c>
      <c r="F295" s="2"/>
    </row>
    <row r="296" spans="2:6" ht="12.75">
      <c r="B296" s="9"/>
      <c r="C296" s="2"/>
      <c r="D296" s="2"/>
      <c r="E296" s="3"/>
      <c r="F296" s="2"/>
    </row>
    <row r="297" spans="2:6" ht="12.75">
      <c r="B297" s="9">
        <v>3</v>
      </c>
      <c r="C297" s="2">
        <f aca="true" t="shared" si="26" ref="C297:C302">B297/28.349523</f>
        <v>0.10582188631533589</v>
      </c>
      <c r="D297" s="2">
        <f aca="true" t="shared" si="27" ref="D297:D302">C297/16</f>
        <v>0.006613867894708493</v>
      </c>
      <c r="E297" s="12" t="s">
        <v>1525</v>
      </c>
      <c r="F297" s="3"/>
    </row>
    <row r="298" spans="2:6" ht="12.75">
      <c r="B298" s="9">
        <v>26</v>
      </c>
      <c r="C298" s="2">
        <f t="shared" si="26"/>
        <v>0.917123014732911</v>
      </c>
      <c r="D298" s="2">
        <f t="shared" si="27"/>
        <v>0.05732018842080694</v>
      </c>
      <c r="E298" s="4" t="s">
        <v>1403</v>
      </c>
      <c r="F298" s="3"/>
    </row>
    <row r="299" spans="2:6" ht="12.75">
      <c r="B299" s="9">
        <v>30</v>
      </c>
      <c r="C299" s="2">
        <f t="shared" si="26"/>
        <v>1.058218863153359</v>
      </c>
      <c r="D299" s="2">
        <f t="shared" si="27"/>
        <v>0.06613867894708493</v>
      </c>
      <c r="E299" s="4" t="s">
        <v>1404</v>
      </c>
      <c r="F299" s="3"/>
    </row>
    <row r="300" spans="2:6" ht="12.75">
      <c r="B300" s="9">
        <v>51</v>
      </c>
      <c r="C300" s="2">
        <f t="shared" si="26"/>
        <v>1.79897206736071</v>
      </c>
      <c r="D300" s="2">
        <f t="shared" si="27"/>
        <v>0.11243575421004437</v>
      </c>
      <c r="E300" s="4" t="s">
        <v>1405</v>
      </c>
      <c r="F300" s="3"/>
    </row>
    <row r="302" spans="2:6" ht="12.75">
      <c r="B302" s="9">
        <v>11</v>
      </c>
      <c r="C302" s="2">
        <f t="shared" si="26"/>
        <v>0.3880135831562316</v>
      </c>
      <c r="D302" s="2">
        <f t="shared" si="27"/>
        <v>0.024250848947264474</v>
      </c>
      <c r="E302" s="4" t="s">
        <v>1406</v>
      </c>
      <c r="F302" s="3"/>
    </row>
    <row r="303" spans="2:6" ht="12.75">
      <c r="B303" s="9">
        <v>17</v>
      </c>
      <c r="C303" s="2">
        <f aca="true" t="shared" si="28" ref="C303:C309">B303/28.349523</f>
        <v>0.5996573557869034</v>
      </c>
      <c r="D303" s="2">
        <f aca="true" t="shared" si="29" ref="D303:D309">C303/16</f>
        <v>0.03747858473668146</v>
      </c>
      <c r="E303" s="4" t="s">
        <v>1407</v>
      </c>
      <c r="F303" s="3"/>
    </row>
    <row r="304" spans="2:5" ht="12.75">
      <c r="B304" s="9">
        <v>16</v>
      </c>
      <c r="C304" s="2">
        <f t="shared" si="28"/>
        <v>0.5643833936817914</v>
      </c>
      <c r="D304" s="2">
        <f t="shared" si="29"/>
        <v>0.03527396210511196</v>
      </c>
      <c r="E304" s="12" t="s">
        <v>257</v>
      </c>
    </row>
    <row r="305" spans="2:6" ht="12.75">
      <c r="B305" s="9">
        <v>100</v>
      </c>
      <c r="C305" s="2">
        <f t="shared" si="28"/>
        <v>3.527396210511196</v>
      </c>
      <c r="D305" s="2">
        <f t="shared" si="29"/>
        <v>0.22046226315694975</v>
      </c>
      <c r="E305" s="4" t="s">
        <v>2072</v>
      </c>
      <c r="F305" s="3"/>
    </row>
    <row r="306" spans="2:6" ht="12.75">
      <c r="B306" s="9">
        <v>8</v>
      </c>
      <c r="C306" s="2">
        <f t="shared" si="28"/>
        <v>0.2821916968408957</v>
      </c>
      <c r="D306" s="2">
        <f t="shared" si="29"/>
        <v>0.01763698105255598</v>
      </c>
      <c r="E306" s="4" t="s">
        <v>1409</v>
      </c>
      <c r="F306" s="3"/>
    </row>
    <row r="307" spans="2:6" ht="12.75">
      <c r="B307" s="9">
        <v>19</v>
      </c>
      <c r="C307" s="2">
        <f t="shared" si="28"/>
        <v>0.6702052799971272</v>
      </c>
      <c r="D307" s="2">
        <f t="shared" si="29"/>
        <v>0.04188782999982045</v>
      </c>
      <c r="E307" s="4" t="s">
        <v>679</v>
      </c>
      <c r="F307" s="3"/>
    </row>
    <row r="308" spans="2:6" ht="12.75">
      <c r="B308" s="16">
        <v>12</v>
      </c>
      <c r="C308" s="2">
        <f t="shared" si="28"/>
        <v>0.42328754526134355</v>
      </c>
      <c r="D308" s="2">
        <f t="shared" si="29"/>
        <v>0.02645547157883397</v>
      </c>
      <c r="E308" s="4" t="s">
        <v>728</v>
      </c>
      <c r="F308" s="3"/>
    </row>
    <row r="309" spans="2:6" ht="12.75">
      <c r="B309" s="16">
        <v>10</v>
      </c>
      <c r="C309" s="2">
        <f t="shared" si="28"/>
        <v>0.3527396210511196</v>
      </c>
      <c r="D309" s="2">
        <f t="shared" si="29"/>
        <v>0.022046226315694976</v>
      </c>
      <c r="E309" s="4" t="s">
        <v>763</v>
      </c>
      <c r="F309" s="3"/>
    </row>
    <row r="310" spans="2:6" ht="12.75">
      <c r="B310" s="9">
        <v>14</v>
      </c>
      <c r="C310" s="2">
        <f aca="true" t="shared" si="30" ref="C310:C322">B310/28.349523</f>
        <v>0.4938354694715675</v>
      </c>
      <c r="D310" s="2">
        <f aca="true" t="shared" si="31" ref="D310:D322">C310/16</f>
        <v>0.030864716841972967</v>
      </c>
      <c r="E310" s="4" t="s">
        <v>680</v>
      </c>
      <c r="F310" s="3"/>
    </row>
    <row r="311" spans="2:6" ht="12.75">
      <c r="B311" s="9">
        <v>8</v>
      </c>
      <c r="C311" s="2">
        <f t="shared" si="30"/>
        <v>0.2821916968408957</v>
      </c>
      <c r="D311" s="2">
        <f t="shared" si="31"/>
        <v>0.01763698105255598</v>
      </c>
      <c r="E311" s="4" t="s">
        <v>1928</v>
      </c>
      <c r="F311" s="3"/>
    </row>
    <row r="312" spans="2:6" ht="12.75">
      <c r="B312" s="9">
        <v>7</v>
      </c>
      <c r="C312" s="2">
        <f t="shared" si="30"/>
        <v>0.24691773473578374</v>
      </c>
      <c r="D312" s="2">
        <f t="shared" si="31"/>
        <v>0.015432358420986484</v>
      </c>
      <c r="E312" s="4" t="s">
        <v>1526</v>
      </c>
      <c r="F312" s="3"/>
    </row>
    <row r="313" spans="2:5" ht="12" customHeight="1">
      <c r="B313" s="9">
        <v>49</v>
      </c>
      <c r="C313" s="2">
        <f t="shared" si="30"/>
        <v>1.728424143150486</v>
      </c>
      <c r="D313" s="2">
        <f t="shared" si="31"/>
        <v>0.10802650894690538</v>
      </c>
      <c r="E313" s="4" t="s">
        <v>1408</v>
      </c>
    </row>
    <row r="314" spans="2:5" ht="12" customHeight="1">
      <c r="B314" s="9">
        <v>28</v>
      </c>
      <c r="C314" s="2">
        <f t="shared" si="30"/>
        <v>0.987670938943135</v>
      </c>
      <c r="D314" s="2">
        <f t="shared" si="31"/>
        <v>0.061729433683945935</v>
      </c>
      <c r="E314" s="4" t="s">
        <v>413</v>
      </c>
    </row>
    <row r="315" spans="2:5" ht="12" customHeight="1">
      <c r="B315" s="9">
        <v>86</v>
      </c>
      <c r="C315" s="2">
        <f t="shared" si="30"/>
        <v>3.033560741039629</v>
      </c>
      <c r="D315" s="2">
        <f t="shared" si="31"/>
        <v>0.1895975463149768</v>
      </c>
      <c r="E315" s="4" t="s">
        <v>1738</v>
      </c>
    </row>
    <row r="316" spans="2:13" ht="12" customHeight="1">
      <c r="B316" s="9">
        <v>46</v>
      </c>
      <c r="C316" s="2">
        <f t="shared" si="30"/>
        <v>1.6226022568351501</v>
      </c>
      <c r="D316" s="2">
        <f t="shared" si="31"/>
        <v>0.10141264105219688</v>
      </c>
      <c r="E316" s="4" t="s">
        <v>1737</v>
      </c>
      <c r="L316" s="8">
        <f>C316/50</f>
        <v>0.032452045136703</v>
      </c>
      <c r="M316" t="s">
        <v>1736</v>
      </c>
    </row>
    <row r="317" spans="2:12" ht="12" customHeight="1">
      <c r="B317" s="9">
        <v>21</v>
      </c>
      <c r="C317" s="2">
        <f t="shared" si="30"/>
        <v>0.7407532042073511</v>
      </c>
      <c r="D317" s="2">
        <f t="shared" si="31"/>
        <v>0.046297075262959446</v>
      </c>
      <c r="E317" s="4" t="s">
        <v>424</v>
      </c>
      <c r="L317" s="8"/>
    </row>
    <row r="318" spans="2:12" ht="12" customHeight="1">
      <c r="B318" s="9">
        <v>62</v>
      </c>
      <c r="C318" s="2">
        <f t="shared" si="30"/>
        <v>2.1869856505169416</v>
      </c>
      <c r="D318" s="2">
        <f t="shared" si="31"/>
        <v>0.13668660315730885</v>
      </c>
      <c r="E318" s="4" t="s">
        <v>425</v>
      </c>
      <c r="L318" s="8"/>
    </row>
    <row r="319" spans="2:12" ht="12" customHeight="1">
      <c r="B319" s="9">
        <v>7</v>
      </c>
      <c r="C319" s="2">
        <f t="shared" si="30"/>
        <v>0.24691773473578374</v>
      </c>
      <c r="D319" s="2"/>
      <c r="E319" s="4" t="s">
        <v>426</v>
      </c>
      <c r="L319" s="8"/>
    </row>
    <row r="320" spans="2:12" ht="12" customHeight="1">
      <c r="B320" s="9">
        <v>195</v>
      </c>
      <c r="C320" s="2">
        <f t="shared" si="30"/>
        <v>6.878422610496832</v>
      </c>
      <c r="D320" s="2">
        <f t="shared" si="31"/>
        <v>0.429901413156052</v>
      </c>
      <c r="E320" s="4" t="s">
        <v>423</v>
      </c>
      <c r="G320" t="s">
        <v>422</v>
      </c>
      <c r="L320" s="8"/>
    </row>
    <row r="321" spans="2:5" ht="12.75">
      <c r="B321" s="9">
        <v>298</v>
      </c>
      <c r="C321" s="2">
        <f t="shared" si="30"/>
        <v>10.511640707323364</v>
      </c>
      <c r="D321" s="2">
        <f t="shared" si="31"/>
        <v>0.6569775442077103</v>
      </c>
      <c r="E321" s="11" t="s">
        <v>427</v>
      </c>
    </row>
    <row r="322" spans="2:5" ht="12.75">
      <c r="B322" s="9">
        <v>200</v>
      </c>
      <c r="C322" s="2">
        <f t="shared" si="30"/>
        <v>7.054792421022392</v>
      </c>
      <c r="D322" s="2">
        <f t="shared" si="31"/>
        <v>0.4409245263138995</v>
      </c>
      <c r="E322" s="11" t="s">
        <v>428</v>
      </c>
    </row>
    <row r="323" spans="1:6" ht="12.75">
      <c r="A323" s="7" t="s">
        <v>688</v>
      </c>
      <c r="B323" s="16"/>
      <c r="C323" s="2"/>
      <c r="D323" s="2"/>
      <c r="E323" s="4"/>
      <c r="F323" s="3"/>
    </row>
    <row r="324" spans="2:5" ht="12.75">
      <c r="B324" s="9">
        <v>106</v>
      </c>
      <c r="C324" s="2">
        <f>B324/28.349523</f>
        <v>3.739039983141868</v>
      </c>
      <c r="D324" s="2">
        <f>C324/16</f>
        <v>0.23368999894636674</v>
      </c>
      <c r="E324" s="4" t="s">
        <v>729</v>
      </c>
    </row>
    <row r="325" spans="2:5" ht="12.75">
      <c r="B325" s="9">
        <v>297</v>
      </c>
      <c r="C325" s="2">
        <f>B325/28.349523</f>
        <v>10.476366745218252</v>
      </c>
      <c r="D325" s="2">
        <f>C325/16</f>
        <v>0.6547729215761408</v>
      </c>
      <c r="E325" s="4" t="s">
        <v>730</v>
      </c>
    </row>
    <row r="326" spans="2:5" ht="12.75">
      <c r="B326" s="9">
        <v>294</v>
      </c>
      <c r="C326" s="2">
        <f>B326/28.349523</f>
        <v>10.370544858902916</v>
      </c>
      <c r="D326" s="2">
        <f>C326/16</f>
        <v>0.6481590536814322</v>
      </c>
      <c r="E326" s="4" t="s">
        <v>731</v>
      </c>
    </row>
    <row r="328" spans="2:4" ht="12.75">
      <c r="B328" s="9"/>
      <c r="C328" s="2"/>
      <c r="D328" s="2"/>
    </row>
    <row r="329" spans="2:5" ht="12.75">
      <c r="B329" s="16">
        <v>72</v>
      </c>
      <c r="C329" s="2">
        <f aca="true" t="shared" si="32" ref="C329:C345">B329/28.349523</f>
        <v>2.539725271568061</v>
      </c>
      <c r="D329" s="2">
        <f aca="true" t="shared" si="33" ref="D329:D345">C329/16</f>
        <v>0.15873282947300382</v>
      </c>
      <c r="E329" s="4" t="s">
        <v>2068</v>
      </c>
    </row>
    <row r="330" spans="2:5" ht="12.75">
      <c r="B330" s="16">
        <v>52</v>
      </c>
      <c r="C330" s="2">
        <f t="shared" si="32"/>
        <v>1.834246029465822</v>
      </c>
      <c r="D330" s="2">
        <f t="shared" si="33"/>
        <v>0.11464037684161388</v>
      </c>
      <c r="E330" s="4" t="s">
        <v>4</v>
      </c>
    </row>
    <row r="331" spans="2:5" ht="12.75">
      <c r="B331" s="16">
        <v>50</v>
      </c>
      <c r="C331" s="2">
        <f t="shared" si="32"/>
        <v>1.763698105255598</v>
      </c>
      <c r="D331" s="2">
        <f t="shared" si="33"/>
        <v>0.11023113157847488</v>
      </c>
      <c r="E331" s="4" t="s">
        <v>5</v>
      </c>
    </row>
    <row r="332" spans="2:5" ht="12.75">
      <c r="B332" s="16"/>
      <c r="C332" s="2"/>
      <c r="D332" s="2"/>
      <c r="E332" s="4"/>
    </row>
    <row r="333" spans="2:15" ht="12.75">
      <c r="B333" s="9">
        <f>608+625</f>
        <v>1233</v>
      </c>
      <c r="C333" s="2">
        <f t="shared" si="32"/>
        <v>43.49279527560305</v>
      </c>
      <c r="D333" s="2">
        <f t="shared" si="33"/>
        <v>2.7182997047251907</v>
      </c>
      <c r="E333" t="s">
        <v>1329</v>
      </c>
      <c r="I333" s="9">
        <f>608+625</f>
        <v>1233</v>
      </c>
      <c r="J333" s="2">
        <f>I333/28.349523</f>
        <v>43.49279527560305</v>
      </c>
      <c r="K333" s="2">
        <f>J333/16</f>
        <v>2.7182997047251907</v>
      </c>
      <c r="L333" t="s">
        <v>1329</v>
      </c>
      <c r="O333" t="s">
        <v>1790</v>
      </c>
    </row>
    <row r="334" spans="2:5" ht="12.75">
      <c r="B334" s="9">
        <v>726</v>
      </c>
      <c r="C334" s="2">
        <f t="shared" si="32"/>
        <v>25.608896488311284</v>
      </c>
      <c r="D334" s="2">
        <f t="shared" si="33"/>
        <v>1.6005560305194553</v>
      </c>
      <c r="E334" t="s">
        <v>74</v>
      </c>
    </row>
    <row r="335" spans="2:12" ht="12.75">
      <c r="B335" s="9">
        <v>747</v>
      </c>
      <c r="C335" s="2">
        <f t="shared" si="32"/>
        <v>26.349649692518636</v>
      </c>
      <c r="D335" s="2">
        <f t="shared" si="33"/>
        <v>1.6468531057824147</v>
      </c>
      <c r="E335" t="s">
        <v>75</v>
      </c>
      <c r="I335">
        <f>B334+B335</f>
        <v>1473</v>
      </c>
      <c r="J335" s="2">
        <f>I335/28.349523</f>
        <v>51.95854618082992</v>
      </c>
      <c r="K335" s="3">
        <f>J335/16</f>
        <v>3.24740913630187</v>
      </c>
      <c r="L335" t="s">
        <v>76</v>
      </c>
    </row>
    <row r="336" spans="2:10" ht="12.75">
      <c r="B336" s="9">
        <v>726</v>
      </c>
      <c r="C336" s="2">
        <f t="shared" si="32"/>
        <v>25.608896488311284</v>
      </c>
      <c r="D336" s="2">
        <f t="shared" si="33"/>
        <v>1.6005560305194553</v>
      </c>
      <c r="E336" t="s">
        <v>71</v>
      </c>
      <c r="J336" s="2"/>
    </row>
    <row r="337" spans="2:10" ht="12.75">
      <c r="B337" s="9">
        <v>718</v>
      </c>
      <c r="C337" s="2">
        <f t="shared" si="32"/>
        <v>25.326704791470387</v>
      </c>
      <c r="D337" s="2">
        <f t="shared" si="33"/>
        <v>1.5829190494668992</v>
      </c>
      <c r="E337" t="s">
        <v>72</v>
      </c>
      <c r="J337" s="2"/>
    </row>
    <row r="338" spans="2:16" ht="12.75">
      <c r="B338" s="9">
        <v>24</v>
      </c>
      <c r="C338" s="2">
        <f>B338/28.349523</f>
        <v>0.8465750905226871</v>
      </c>
      <c r="D338" s="2">
        <f>C338/16</f>
        <v>0.05291094315766794</v>
      </c>
      <c r="E338" t="s">
        <v>73</v>
      </c>
      <c r="I338" s="9">
        <f>B343+B344+B338</f>
        <v>1467</v>
      </c>
      <c r="J338" s="2">
        <f>I338/28.349523</f>
        <v>51.74690240819925</v>
      </c>
      <c r="K338" s="3">
        <f>J338/16</f>
        <v>3.234181400512453</v>
      </c>
      <c r="L338" t="s">
        <v>2063</v>
      </c>
      <c r="P338" t="s">
        <v>1791</v>
      </c>
    </row>
    <row r="339" spans="2:10" ht="12.75">
      <c r="B339" s="9">
        <f>B337+B336</f>
        <v>1444</v>
      </c>
      <c r="C339" s="2">
        <f t="shared" si="32"/>
        <v>50.93560127978167</v>
      </c>
      <c r="D339" s="2">
        <f t="shared" si="33"/>
        <v>3.1834750799863545</v>
      </c>
      <c r="E339" t="s">
        <v>1106</v>
      </c>
      <c r="J339" s="2"/>
    </row>
    <row r="340" spans="2:10" ht="12.75">
      <c r="B340" s="9">
        <v>514</v>
      </c>
      <c r="C340" s="2">
        <f t="shared" si="32"/>
        <v>18.130816522027548</v>
      </c>
      <c r="D340" s="2">
        <f t="shared" si="33"/>
        <v>1.1331760326267217</v>
      </c>
      <c r="E340" t="s">
        <v>1792</v>
      </c>
      <c r="J340" s="2"/>
    </row>
    <row r="341" spans="2:10" ht="12.75">
      <c r="B341" s="9">
        <v>513</v>
      </c>
      <c r="C341" s="2">
        <f t="shared" si="32"/>
        <v>18.095542559922436</v>
      </c>
      <c r="D341" s="2">
        <f t="shared" si="33"/>
        <v>1.1309714099951522</v>
      </c>
      <c r="E341" t="s">
        <v>1793</v>
      </c>
      <c r="J341" s="2"/>
    </row>
    <row r="342" spans="2:10" ht="12.75">
      <c r="B342" s="9">
        <f>B340+B341</f>
        <v>1027</v>
      </c>
      <c r="C342" s="2">
        <f t="shared" si="32"/>
        <v>36.22635908194999</v>
      </c>
      <c r="D342" s="2">
        <f t="shared" si="33"/>
        <v>2.264147442621874</v>
      </c>
      <c r="E342" t="s">
        <v>1794</v>
      </c>
      <c r="H342" t="s">
        <v>1795</v>
      </c>
      <c r="J342" s="2"/>
    </row>
    <row r="343" spans="2:10" ht="12.75">
      <c r="B343" s="9">
        <v>709</v>
      </c>
      <c r="C343" s="2">
        <f t="shared" si="32"/>
        <v>25.00923913252438</v>
      </c>
      <c r="D343" s="2">
        <f t="shared" si="33"/>
        <v>1.5630774457827739</v>
      </c>
      <c r="E343" t="s">
        <v>1104</v>
      </c>
      <c r="J343" s="2"/>
    </row>
    <row r="344" spans="2:10" ht="12.75">
      <c r="B344" s="9">
        <v>734</v>
      </c>
      <c r="C344" s="2">
        <f t="shared" si="32"/>
        <v>25.891088185152178</v>
      </c>
      <c r="D344" s="2">
        <f t="shared" si="33"/>
        <v>1.6181930115720111</v>
      </c>
      <c r="E344" t="s">
        <v>1105</v>
      </c>
      <c r="J344" s="2"/>
    </row>
    <row r="345" spans="2:10" ht="12.75">
      <c r="B345" s="9">
        <f>B344+B343</f>
        <v>1443</v>
      </c>
      <c r="C345" s="2">
        <f t="shared" si="32"/>
        <v>50.900327317676556</v>
      </c>
      <c r="D345" s="2">
        <f t="shared" si="33"/>
        <v>3.1812704573547848</v>
      </c>
      <c r="E345" t="s">
        <v>1107</v>
      </c>
      <c r="H345">
        <f>36+18</f>
        <v>54</v>
      </c>
      <c r="J345" s="2"/>
    </row>
    <row r="346" spans="2:11" ht="12.75">
      <c r="B346" s="9">
        <v>10</v>
      </c>
      <c r="C346" s="2">
        <f aca="true" t="shared" si="34" ref="C346:C362">B346/28.349523</f>
        <v>0.3527396210511196</v>
      </c>
      <c r="D346" s="2">
        <f aca="true" t="shared" si="35" ref="D346:D362">C346/16</f>
        <v>0.022046226315694976</v>
      </c>
      <c r="E346" t="s">
        <v>1664</v>
      </c>
      <c r="I346" s="9"/>
      <c r="J346" s="2"/>
      <c r="K346" s="3"/>
    </row>
    <row r="347" spans="2:11" ht="12.75">
      <c r="B347" s="9">
        <v>12</v>
      </c>
      <c r="C347" s="2">
        <f t="shared" si="34"/>
        <v>0.42328754526134355</v>
      </c>
      <c r="D347" s="2">
        <f t="shared" si="35"/>
        <v>0.02645547157883397</v>
      </c>
      <c r="E347" t="s">
        <v>462</v>
      </c>
      <c r="I347" s="9"/>
      <c r="J347" s="2"/>
      <c r="K347" s="3"/>
    </row>
    <row r="348" spans="2:11" ht="12.75">
      <c r="B348" s="9">
        <v>669</v>
      </c>
      <c r="C348" s="2">
        <f t="shared" si="34"/>
        <v>23.598280648319903</v>
      </c>
      <c r="D348" s="2">
        <f t="shared" si="35"/>
        <v>1.474892540519994</v>
      </c>
      <c r="E348" t="s">
        <v>1214</v>
      </c>
      <c r="I348" s="9"/>
      <c r="J348" s="2"/>
      <c r="K348" s="3"/>
    </row>
    <row r="349" spans="2:11" ht="12.75">
      <c r="B349" s="9">
        <v>601</v>
      </c>
      <c r="C349" s="2">
        <f t="shared" si="34"/>
        <v>21.19965122517229</v>
      </c>
      <c r="D349" s="2">
        <f t="shared" si="35"/>
        <v>1.324978201573268</v>
      </c>
      <c r="E349" t="s">
        <v>1213</v>
      </c>
      <c r="F349" t="s">
        <v>344</v>
      </c>
      <c r="G349" s="2">
        <f>C349-16</f>
        <v>5.199651225172289</v>
      </c>
      <c r="H349" t="s">
        <v>1265</v>
      </c>
      <c r="I349" s="9"/>
      <c r="J349" s="2"/>
      <c r="K349" s="3"/>
    </row>
    <row r="350" spans="2:11" ht="12.75">
      <c r="B350" s="9">
        <v>29</v>
      </c>
      <c r="C350" s="2">
        <f t="shared" si="34"/>
        <v>1.0229449010482468</v>
      </c>
      <c r="D350" s="2"/>
      <c r="E350" t="s">
        <v>345</v>
      </c>
      <c r="G350" s="2"/>
      <c r="I350" s="9"/>
      <c r="J350" s="2"/>
      <c r="K350" s="3"/>
    </row>
    <row r="351" spans="2:5" ht="12.75">
      <c r="B351" s="9">
        <v>34</v>
      </c>
      <c r="C351" s="2">
        <f>B351/28.349523</f>
        <v>1.1993147115738068</v>
      </c>
      <c r="D351" s="2">
        <f>C351/16</f>
        <v>0.07495716947336292</v>
      </c>
      <c r="E351" s="4" t="s">
        <v>84</v>
      </c>
    </row>
    <row r="352" spans="2:11" ht="12.75">
      <c r="B352" s="9"/>
      <c r="C352" s="2"/>
      <c r="D352" s="2"/>
      <c r="I352" s="9"/>
      <c r="J352" s="2"/>
      <c r="K352" s="3"/>
    </row>
    <row r="353" spans="2:11" ht="12.75">
      <c r="B353" s="9"/>
      <c r="C353" s="2">
        <f>C354+C361</f>
        <v>18.34246029465822</v>
      </c>
      <c r="D353" s="2"/>
      <c r="E353" s="4" t="s">
        <v>998</v>
      </c>
      <c r="I353" s="9"/>
      <c r="J353" s="2"/>
      <c r="K353" s="3"/>
    </row>
    <row r="354" spans="2:11" ht="12.75">
      <c r="B354" s="16">
        <v>362</v>
      </c>
      <c r="C354" s="2">
        <f t="shared" si="34"/>
        <v>12.76917428205053</v>
      </c>
      <c r="D354" s="2">
        <f t="shared" si="35"/>
        <v>0.7980733926281581</v>
      </c>
      <c r="E354" s="4" t="s">
        <v>997</v>
      </c>
      <c r="I354" s="9"/>
      <c r="J354" s="2"/>
      <c r="K354" s="3"/>
    </row>
    <row r="355" spans="1:26" ht="12.75">
      <c r="A355" s="7"/>
      <c r="B355" s="16">
        <v>565</v>
      </c>
      <c r="C355" s="2">
        <f t="shared" si="34"/>
        <v>19.92978858938826</v>
      </c>
      <c r="D355" s="2">
        <f t="shared" si="35"/>
        <v>1.2456117868367662</v>
      </c>
      <c r="E355" s="4" t="s">
        <v>1886</v>
      </c>
      <c r="F355" s="3"/>
      <c r="G355">
        <f>B355-540</f>
        <v>25</v>
      </c>
      <c r="H355" t="s">
        <v>1887</v>
      </c>
      <c r="J355">
        <f>B356-B355</f>
        <v>126</v>
      </c>
      <c r="K355" t="s">
        <v>1888</v>
      </c>
      <c r="M355" s="2">
        <f>J355/F1</f>
        <v>4.4445192252441075</v>
      </c>
      <c r="N355" t="s">
        <v>1889</v>
      </c>
      <c r="Q355">
        <f>B355/540</f>
        <v>1.0462962962962963</v>
      </c>
      <c r="R355" t="s">
        <v>1890</v>
      </c>
      <c r="Z355" s="51" t="s">
        <v>1154</v>
      </c>
    </row>
    <row r="356" spans="1:26" ht="12.75">
      <c r="A356" s="7"/>
      <c r="B356" s="16">
        <v>691</v>
      </c>
      <c r="C356" s="2">
        <f>B356/28.349523</f>
        <v>24.374307814632363</v>
      </c>
      <c r="D356" s="2">
        <f>C356/16</f>
        <v>1.5233942384145227</v>
      </c>
      <c r="E356" s="4" t="s">
        <v>2076</v>
      </c>
      <c r="F356" s="3"/>
      <c r="Z356" t="s">
        <v>1153</v>
      </c>
    </row>
    <row r="357" spans="1:26" ht="12.75">
      <c r="A357" s="7"/>
      <c r="B357" s="16">
        <v>257</v>
      </c>
      <c r="C357" s="2">
        <f t="shared" si="34"/>
        <v>9.065408261013774</v>
      </c>
      <c r="D357" s="2">
        <f t="shared" si="35"/>
        <v>0.5665880163133609</v>
      </c>
      <c r="E357" s="4" t="s">
        <v>54</v>
      </c>
      <c r="F357" s="3"/>
      <c r="L357">
        <f>B355-B357</f>
        <v>308</v>
      </c>
      <c r="M357" t="s">
        <v>1669</v>
      </c>
      <c r="N357" s="2">
        <f>L357/28.349523</f>
        <v>10.864380328374484</v>
      </c>
      <c r="O357" t="s">
        <v>1670</v>
      </c>
      <c r="Z357" s="51" t="s">
        <v>1165</v>
      </c>
    </row>
    <row r="358" spans="1:26" ht="12.75">
      <c r="A358" s="7"/>
      <c r="B358" s="16">
        <v>238</v>
      </c>
      <c r="C358" s="2">
        <f t="shared" si="34"/>
        <v>8.395202981016647</v>
      </c>
      <c r="D358" s="2">
        <f t="shared" si="35"/>
        <v>0.5247001863135404</v>
      </c>
      <c r="E358" s="4" t="s">
        <v>42</v>
      </c>
      <c r="F358" s="3"/>
      <c r="M358" s="2"/>
      <c r="Z358" s="51" t="s">
        <v>1166</v>
      </c>
    </row>
    <row r="359" spans="1:26" ht="12.75">
      <c r="A359" s="7"/>
      <c r="B359" s="16">
        <v>43</v>
      </c>
      <c r="C359" s="2">
        <f t="shared" si="34"/>
        <v>1.5167803705198144</v>
      </c>
      <c r="D359" s="2">
        <f t="shared" si="35"/>
        <v>0.0947987731574884</v>
      </c>
      <c r="E359" s="4" t="s">
        <v>53</v>
      </c>
      <c r="F359" s="3"/>
      <c r="M359" s="2"/>
      <c r="Z359" s="51" t="s">
        <v>1167</v>
      </c>
    </row>
    <row r="360" spans="1:26" ht="12.75">
      <c r="A360" s="7"/>
      <c r="B360" s="16">
        <v>195</v>
      </c>
      <c r="C360" s="2">
        <f t="shared" si="34"/>
        <v>6.878422610496832</v>
      </c>
      <c r="D360" s="2">
        <f t="shared" si="35"/>
        <v>0.429901413156052</v>
      </c>
      <c r="E360" s="4" t="s">
        <v>55</v>
      </c>
      <c r="F360" s="3"/>
      <c r="M360" s="2"/>
      <c r="Z360" s="51" t="s">
        <v>1168</v>
      </c>
    </row>
    <row r="361" spans="1:26" ht="12.75">
      <c r="A361" s="7"/>
      <c r="B361" s="16">
        <v>158</v>
      </c>
      <c r="C361" s="2">
        <f t="shared" si="34"/>
        <v>5.5732860126076895</v>
      </c>
      <c r="D361" s="2">
        <f t="shared" si="35"/>
        <v>0.3483303757879806</v>
      </c>
      <c r="E361" s="4" t="s">
        <v>1527</v>
      </c>
      <c r="F361" s="3"/>
      <c r="M361" s="2"/>
      <c r="Z361" s="52" t="s">
        <v>1169</v>
      </c>
    </row>
    <row r="362" spans="1:13" ht="12.75">
      <c r="A362" s="7"/>
      <c r="B362" s="16">
        <f>B361+B357</f>
        <v>415</v>
      </c>
      <c r="C362" s="2">
        <f t="shared" si="34"/>
        <v>14.638694273621464</v>
      </c>
      <c r="D362" s="2">
        <f t="shared" si="35"/>
        <v>0.9149183921013415</v>
      </c>
      <c r="E362" s="4" t="s">
        <v>1806</v>
      </c>
      <c r="F362" s="3"/>
      <c r="M362" s="2"/>
    </row>
    <row r="363" spans="1:13" ht="12.75">
      <c r="A363" s="7"/>
      <c r="B363" s="16"/>
      <c r="C363" s="2"/>
      <c r="D363" s="2"/>
      <c r="E363" s="4"/>
      <c r="F363" s="3"/>
      <c r="M363" s="2"/>
    </row>
    <row r="364" spans="1:18" ht="12.75">
      <c r="A364" s="7"/>
      <c r="B364" s="9">
        <v>422</v>
      </c>
      <c r="C364" s="2">
        <f>B364/28.349523</f>
        <v>14.885612008357247</v>
      </c>
      <c r="D364" s="2">
        <f>C364/16</f>
        <v>0.930350750522328</v>
      </c>
      <c r="E364" s="12" t="s">
        <v>1610</v>
      </c>
      <c r="F364" s="3"/>
      <c r="M364" s="2"/>
      <c r="O364" s="3">
        <f>422/121.4</f>
        <v>3.476112026359143</v>
      </c>
      <c r="P364" t="s">
        <v>1612</v>
      </c>
      <c r="R364" t="s">
        <v>1973</v>
      </c>
    </row>
    <row r="365" spans="1:13" ht="12.75">
      <c r="A365" s="7"/>
      <c r="B365" s="9">
        <v>4</v>
      </c>
      <c r="C365" s="2">
        <f>B365/28.349523</f>
        <v>0.14109584842044784</v>
      </c>
      <c r="D365" s="2">
        <f>C365/16</f>
        <v>0.00881849052627799</v>
      </c>
      <c r="E365" s="11" t="s">
        <v>1499</v>
      </c>
      <c r="F365" s="3"/>
      <c r="M365" s="2"/>
    </row>
    <row r="366" spans="1:13" ht="12.75">
      <c r="A366" s="7"/>
      <c r="B366" s="9">
        <f>46/4</f>
        <v>11.5</v>
      </c>
      <c r="C366" s="2">
        <f>B366/28.349523</f>
        <v>0.40565056420878753</v>
      </c>
      <c r="D366" s="2">
        <f>C366/16</f>
        <v>0.02535316026304922</v>
      </c>
      <c r="E366" s="12" t="s">
        <v>1478</v>
      </c>
      <c r="F366" s="3"/>
      <c r="M366" s="2"/>
    </row>
    <row r="367" spans="1:13" ht="12.75">
      <c r="A367" s="7"/>
      <c r="B367" s="9">
        <v>16</v>
      </c>
      <c r="C367" s="2">
        <f>B367/28.349523</f>
        <v>0.5643833936817914</v>
      </c>
      <c r="D367" s="2">
        <f>C367/16</f>
        <v>0.03527396210511196</v>
      </c>
      <c r="E367" s="12" t="s">
        <v>409</v>
      </c>
      <c r="F367" s="3"/>
      <c r="M367" s="2"/>
    </row>
    <row r="368" spans="1:13" ht="12.75">
      <c r="A368" s="7"/>
      <c r="B368" s="9">
        <v>121</v>
      </c>
      <c r="C368" s="2">
        <f>B368/28.349523</f>
        <v>4.268149414718548</v>
      </c>
      <c r="D368" s="2">
        <f>C368/16</f>
        <v>0.26675933841990923</v>
      </c>
      <c r="E368" s="12" t="s">
        <v>619</v>
      </c>
      <c r="F368" s="3"/>
      <c r="M368" s="2"/>
    </row>
    <row r="369" spans="1:13" ht="12.75">
      <c r="A369" s="7"/>
      <c r="B369" s="16">
        <v>39</v>
      </c>
      <c r="C369" s="2">
        <f aca="true" t="shared" si="36" ref="C369:C382">B369/28.349523</f>
        <v>1.3756845220993665</v>
      </c>
      <c r="D369" s="2">
        <f aca="true" t="shared" si="37" ref="D369:D382">C369/16</f>
        <v>0.08598028263121041</v>
      </c>
      <c r="E369" s="4" t="s">
        <v>2123</v>
      </c>
      <c r="F369" s="3"/>
      <c r="M369" s="2"/>
    </row>
    <row r="370" spans="1:13" ht="12.75">
      <c r="A370" s="7"/>
      <c r="B370" s="16">
        <v>120</v>
      </c>
      <c r="C370" s="2">
        <f t="shared" si="36"/>
        <v>4.232875452613436</v>
      </c>
      <c r="D370" s="2">
        <f t="shared" si="37"/>
        <v>0.2645547157883397</v>
      </c>
      <c r="E370" s="4" t="s">
        <v>2122</v>
      </c>
      <c r="F370" s="3"/>
      <c r="M370" s="2"/>
    </row>
    <row r="371" spans="1:13" ht="12.75">
      <c r="A371" s="7"/>
      <c r="B371" s="16">
        <v>174</v>
      </c>
      <c r="C371" s="2">
        <f t="shared" si="36"/>
        <v>6.137669406289481</v>
      </c>
      <c r="D371" s="2">
        <f t="shared" si="37"/>
        <v>0.38360433789309256</v>
      </c>
      <c r="E371" s="4" t="s">
        <v>2121</v>
      </c>
      <c r="F371" s="3"/>
      <c r="M371" s="2"/>
    </row>
    <row r="372" spans="1:13" ht="12.75">
      <c r="A372" s="7"/>
      <c r="B372" s="16">
        <f>B370+B371</f>
        <v>294</v>
      </c>
      <c r="C372" s="2">
        <f t="shared" si="36"/>
        <v>10.370544858902916</v>
      </c>
      <c r="D372" s="2">
        <f t="shared" si="37"/>
        <v>0.6481590536814322</v>
      </c>
      <c r="E372" s="4" t="s">
        <v>615</v>
      </c>
      <c r="F372" s="3"/>
      <c r="M372" s="2"/>
    </row>
    <row r="373" spans="1:13" ht="12.75">
      <c r="A373" t="s">
        <v>618</v>
      </c>
      <c r="B373" s="16">
        <f>B371+B369+2*B380</f>
        <v>271</v>
      </c>
      <c r="C373" s="2">
        <f t="shared" si="36"/>
        <v>9.559243730485342</v>
      </c>
      <c r="D373" s="2">
        <f t="shared" si="37"/>
        <v>0.5974527331553339</v>
      </c>
      <c r="E373" s="4" t="s">
        <v>616</v>
      </c>
      <c r="F373" s="3"/>
      <c r="M373" s="2"/>
    </row>
    <row r="374" spans="1:17" ht="12.75">
      <c r="A374" s="7"/>
      <c r="B374" s="16">
        <v>103</v>
      </c>
      <c r="C374" s="2">
        <f t="shared" si="36"/>
        <v>3.633218096826532</v>
      </c>
      <c r="D374" s="2">
        <f t="shared" si="37"/>
        <v>0.22707613105165825</v>
      </c>
      <c r="E374" s="4" t="s">
        <v>609</v>
      </c>
      <c r="F374" s="3"/>
      <c r="M374" s="2"/>
      <c r="Q374" t="s">
        <v>626</v>
      </c>
    </row>
    <row r="375" spans="2:26" ht="12.75">
      <c r="B375" s="16">
        <v>21</v>
      </c>
      <c r="C375" s="2">
        <f t="shared" si="36"/>
        <v>0.7407532042073511</v>
      </c>
      <c r="D375" s="2">
        <f t="shared" si="37"/>
        <v>0.046297075262959446</v>
      </c>
      <c r="E375" s="4" t="s">
        <v>610</v>
      </c>
      <c r="F375" s="3"/>
      <c r="Q375" t="s">
        <v>629</v>
      </c>
      <c r="Z375" t="s">
        <v>1778</v>
      </c>
    </row>
    <row r="376" spans="2:26" ht="12.75">
      <c r="B376" s="16">
        <v>90</v>
      </c>
      <c r="C376" s="2">
        <f t="shared" si="36"/>
        <v>3.1746565894600765</v>
      </c>
      <c r="D376" s="2">
        <f t="shared" si="37"/>
        <v>0.19841603684125478</v>
      </c>
      <c r="E376" s="4" t="s">
        <v>611</v>
      </c>
      <c r="F376" s="3"/>
      <c r="Q376" t="s">
        <v>628</v>
      </c>
      <c r="Z376" s="50" t="s">
        <v>639</v>
      </c>
    </row>
    <row r="377" spans="2:26" ht="12.75">
      <c r="B377" s="16">
        <v>49</v>
      </c>
      <c r="C377" s="2">
        <f t="shared" si="36"/>
        <v>1.728424143150486</v>
      </c>
      <c r="D377" s="2">
        <f t="shared" si="37"/>
        <v>0.10802650894690538</v>
      </c>
      <c r="E377" s="4" t="s">
        <v>686</v>
      </c>
      <c r="F377" s="3"/>
      <c r="Q377" t="s">
        <v>630</v>
      </c>
      <c r="Z377" s="50" t="s">
        <v>640</v>
      </c>
    </row>
    <row r="378" spans="2:26" ht="12.75">
      <c r="B378" s="16">
        <f>B376+B375+B459+B459</f>
        <v>139</v>
      </c>
      <c r="C378" s="2">
        <f t="shared" si="36"/>
        <v>4.9030807326105625</v>
      </c>
      <c r="D378" s="2">
        <f t="shared" si="37"/>
        <v>0.30644254578816016</v>
      </c>
      <c r="E378" s="4" t="s">
        <v>612</v>
      </c>
      <c r="F378" s="3"/>
      <c r="J378" s="9">
        <f>B378-B375</f>
        <v>118</v>
      </c>
      <c r="K378" t="s">
        <v>1395</v>
      </c>
      <c r="Q378" t="s">
        <v>631</v>
      </c>
      <c r="Z378" s="50" t="s">
        <v>641</v>
      </c>
    </row>
    <row r="379" spans="2:26" ht="12.75">
      <c r="B379" s="16">
        <v>159</v>
      </c>
      <c r="C379" s="2">
        <f t="shared" si="36"/>
        <v>5.608559974712802</v>
      </c>
      <c r="D379" s="2">
        <f t="shared" si="37"/>
        <v>0.3505349984195501</v>
      </c>
      <c r="E379" s="4" t="s">
        <v>613</v>
      </c>
      <c r="F379" s="3"/>
      <c r="J379" s="9">
        <f>B379-B375</f>
        <v>138</v>
      </c>
      <c r="K379" t="s">
        <v>1395</v>
      </c>
      <c r="Q379" t="s">
        <v>632</v>
      </c>
      <c r="Z379" s="50" t="s">
        <v>642</v>
      </c>
    </row>
    <row r="380" spans="2:26" ht="12.75">
      <c r="B380" s="16">
        <v>29</v>
      </c>
      <c r="C380" s="2">
        <f t="shared" si="36"/>
        <v>1.0229449010482468</v>
      </c>
      <c r="D380" s="2">
        <f t="shared" si="37"/>
        <v>0.06393405631551542</v>
      </c>
      <c r="E380" s="4" t="s">
        <v>687</v>
      </c>
      <c r="F380" s="3"/>
      <c r="Q380" t="s">
        <v>627</v>
      </c>
      <c r="Z380" s="50" t="s">
        <v>643</v>
      </c>
    </row>
    <row r="381" spans="2:26" ht="12.75">
      <c r="B381" s="16">
        <f>B380+B374</f>
        <v>132</v>
      </c>
      <c r="C381" s="2">
        <f t="shared" si="36"/>
        <v>4.6561629978747785</v>
      </c>
      <c r="D381" s="2">
        <f t="shared" si="37"/>
        <v>0.29101018736717366</v>
      </c>
      <c r="E381" s="4" t="s">
        <v>614</v>
      </c>
      <c r="F381" s="3"/>
      <c r="Q381" t="s">
        <v>633</v>
      </c>
      <c r="Z381" s="50" t="s">
        <v>644</v>
      </c>
    </row>
    <row r="382" spans="1:26" ht="12.75">
      <c r="A382" t="s">
        <v>618</v>
      </c>
      <c r="B382" s="16">
        <f>B381+B368</f>
        <v>253</v>
      </c>
      <c r="C382" s="2">
        <f t="shared" si="36"/>
        <v>8.924312412593325</v>
      </c>
      <c r="D382" s="2">
        <f t="shared" si="37"/>
        <v>0.5577695257870828</v>
      </c>
      <c r="E382" s="4" t="s">
        <v>617</v>
      </c>
      <c r="F382" s="3"/>
      <c r="Z382" s="50" t="s">
        <v>644</v>
      </c>
    </row>
    <row r="383" spans="2:26" ht="12.75">
      <c r="B383" s="16">
        <f>C383*28.348523</f>
        <v>1077.243874</v>
      </c>
      <c r="C383" s="2">
        <v>38</v>
      </c>
      <c r="D383" s="2">
        <f aca="true" t="shared" si="38" ref="D383:D391">C383/16</f>
        <v>2.375</v>
      </c>
      <c r="E383" s="27" t="s">
        <v>1596</v>
      </c>
      <c r="F383" s="3"/>
      <c r="Q383" t="s">
        <v>634</v>
      </c>
      <c r="Z383" s="50" t="s">
        <v>645</v>
      </c>
    </row>
    <row r="384" spans="2:17" ht="12.75">
      <c r="B384" s="16">
        <v>188</v>
      </c>
      <c r="C384" s="2">
        <f aca="true" t="shared" si="39" ref="C384:C391">B384/28.349523</f>
        <v>6.631504875761049</v>
      </c>
      <c r="D384" s="2">
        <f t="shared" si="38"/>
        <v>0.41446905473506557</v>
      </c>
      <c r="E384" s="27" t="s">
        <v>1041</v>
      </c>
      <c r="F384" s="3"/>
      <c r="Q384" t="s">
        <v>635</v>
      </c>
    </row>
    <row r="385" spans="2:18" ht="12.75">
      <c r="B385" s="16">
        <v>154</v>
      </c>
      <c r="C385" s="2">
        <f t="shared" si="39"/>
        <v>5.432190164187242</v>
      </c>
      <c r="D385" s="2">
        <f t="shared" si="38"/>
        <v>0.3395118852617026</v>
      </c>
      <c r="E385" s="27" t="s">
        <v>1040</v>
      </c>
      <c r="F385" s="3"/>
      <c r="Q385" s="3">
        <f>380/W390</f>
        <v>1.0526315789473684</v>
      </c>
      <c r="R385" t="s">
        <v>625</v>
      </c>
    </row>
    <row r="386" spans="1:24" ht="12.75">
      <c r="A386" s="9">
        <f>B386+B385</f>
        <v>1071</v>
      </c>
      <c r="B386" s="16">
        <v>917</v>
      </c>
      <c r="C386" s="2">
        <f t="shared" si="39"/>
        <v>32.346223250387666</v>
      </c>
      <c r="D386" s="2">
        <f t="shared" si="38"/>
        <v>2.021638953149229</v>
      </c>
      <c r="E386" s="27" t="s">
        <v>1042</v>
      </c>
      <c r="F386" s="3"/>
      <c r="Q386" s="3">
        <f>380/340</f>
        <v>1.1176470588235294</v>
      </c>
      <c r="R386" t="s">
        <v>624</v>
      </c>
      <c r="W386">
        <v>361</v>
      </c>
      <c r="X386" t="s">
        <v>1896</v>
      </c>
    </row>
    <row r="387" spans="2:24" ht="12.75">
      <c r="B387" s="16">
        <f>B386+B384</f>
        <v>1105</v>
      </c>
      <c r="C387" s="2">
        <f t="shared" si="39"/>
        <v>38.97772812614872</v>
      </c>
      <c r="D387" s="3">
        <f t="shared" si="38"/>
        <v>2.436108007884295</v>
      </c>
      <c r="E387" s="27" t="s">
        <v>1043</v>
      </c>
      <c r="F387" s="3"/>
      <c r="Q387" s="3">
        <f>380/340</f>
        <v>1.1176470588235294</v>
      </c>
      <c r="R387" t="s">
        <v>624</v>
      </c>
      <c r="W387">
        <v>361</v>
      </c>
      <c r="X387" t="s">
        <v>1896</v>
      </c>
    </row>
    <row r="388" spans="2:24" ht="12.75">
      <c r="B388" s="16">
        <f>B385+B386</f>
        <v>1071</v>
      </c>
      <c r="C388" s="2">
        <f t="shared" si="39"/>
        <v>37.77841341457491</v>
      </c>
      <c r="D388" s="3">
        <f t="shared" si="38"/>
        <v>2.361150838410932</v>
      </c>
      <c r="E388" s="27" t="s">
        <v>46</v>
      </c>
      <c r="F388" s="3"/>
      <c r="K388">
        <v>377</v>
      </c>
      <c r="L388" t="s">
        <v>2103</v>
      </c>
      <c r="M388">
        <f>K388*M391</f>
        <v>680.3671912699999</v>
      </c>
      <c r="Q388" s="3">
        <f>380/340</f>
        <v>1.1176470588235294</v>
      </c>
      <c r="R388" t="s">
        <v>624</v>
      </c>
      <c r="W388">
        <v>361</v>
      </c>
      <c r="X388" t="s">
        <v>1896</v>
      </c>
    </row>
    <row r="389" spans="2:24" ht="12.75">
      <c r="B389" s="16">
        <v>192</v>
      </c>
      <c r="C389" s="2">
        <f t="shared" si="39"/>
        <v>6.772600724181497</v>
      </c>
      <c r="D389" s="2">
        <f t="shared" si="38"/>
        <v>0.42328754526134355</v>
      </c>
      <c r="E389" s="27" t="s">
        <v>1260</v>
      </c>
      <c r="F389" s="3"/>
      <c r="Q389" s="3">
        <f>380/340</f>
        <v>1.1176470588235294</v>
      </c>
      <c r="R389" t="s">
        <v>624</v>
      </c>
      <c r="W389">
        <v>361</v>
      </c>
      <c r="X389" t="s">
        <v>1896</v>
      </c>
    </row>
    <row r="390" spans="2:24" ht="12.75">
      <c r="B390" s="16">
        <v>687</v>
      </c>
      <c r="C390" s="2">
        <f t="shared" si="39"/>
        <v>24.23321196621192</v>
      </c>
      <c r="D390" s="2">
        <f t="shared" si="38"/>
        <v>1.514575747888245</v>
      </c>
      <c r="E390" s="27" t="s">
        <v>1261</v>
      </c>
      <c r="F390" s="3"/>
      <c r="Q390" s="3">
        <f>380/340</f>
        <v>1.1176470588235294</v>
      </c>
      <c r="R390" t="s">
        <v>624</v>
      </c>
      <c r="W390">
        <v>361</v>
      </c>
      <c r="X390" t="s">
        <v>1896</v>
      </c>
    </row>
    <row r="391" spans="2:17" ht="15">
      <c r="B391" s="16">
        <v>880</v>
      </c>
      <c r="C391" s="3">
        <f t="shared" si="39"/>
        <v>31.041086652498525</v>
      </c>
      <c r="D391" s="2">
        <f t="shared" si="38"/>
        <v>1.9400679157811578</v>
      </c>
      <c r="E391" s="27" t="s">
        <v>1259</v>
      </c>
      <c r="F391" s="3"/>
      <c r="I391" s="9"/>
      <c r="M391">
        <v>1.80468751</v>
      </c>
      <c r="O391" s="281" t="s">
        <v>2101</v>
      </c>
      <c r="Q391" s="3"/>
    </row>
    <row r="392" spans="2:19" ht="12.75">
      <c r="B392" s="16"/>
      <c r="C392" s="2"/>
      <c r="D392" s="2"/>
      <c r="E392" s="27" t="s">
        <v>297</v>
      </c>
      <c r="F392" s="3"/>
      <c r="P392">
        <v>433</v>
      </c>
      <c r="Q392" s="3" t="s">
        <v>2100</v>
      </c>
      <c r="R392">
        <f>P392/1.80468751</f>
        <v>239.9307346012496</v>
      </c>
      <c r="S392" t="s">
        <v>2102</v>
      </c>
    </row>
    <row r="393" spans="2:18" ht="12.75">
      <c r="B393" s="16"/>
      <c r="C393" s="2"/>
      <c r="D393" s="2">
        <v>3.1</v>
      </c>
      <c r="E393" s="27" t="s">
        <v>312</v>
      </c>
      <c r="F393" s="3"/>
      <c r="Q393" s="121">
        <v>29.573</v>
      </c>
      <c r="R393" t="s">
        <v>162</v>
      </c>
    </row>
    <row r="394" spans="2:6" ht="12.75">
      <c r="B394" s="16">
        <f>C394*28.348523</f>
        <v>878.804213</v>
      </c>
      <c r="C394" s="2">
        <v>31</v>
      </c>
      <c r="D394" s="3">
        <f>C394/16</f>
        <v>1.9375</v>
      </c>
      <c r="E394" s="4" t="s">
        <v>1465</v>
      </c>
      <c r="F394" s="3"/>
    </row>
    <row r="395" spans="2:12" ht="12.75">
      <c r="B395" s="16">
        <f>C395*28.348523</f>
        <v>1247.335012</v>
      </c>
      <c r="C395" s="2">
        <v>44</v>
      </c>
      <c r="D395" s="10">
        <v>2.7</v>
      </c>
      <c r="E395" s="4" t="s">
        <v>95</v>
      </c>
      <c r="F395" s="3"/>
      <c r="L395" s="6" t="s">
        <v>2066</v>
      </c>
    </row>
    <row r="396" spans="2:6" ht="12.75">
      <c r="B396" s="16"/>
      <c r="C396" s="2">
        <v>5</v>
      </c>
      <c r="D396" s="2">
        <f>C396/16</f>
        <v>0.3125</v>
      </c>
      <c r="E396" s="4" t="s">
        <v>695</v>
      </c>
      <c r="F396" s="3"/>
    </row>
    <row r="397" spans="2:6" ht="12.75">
      <c r="B397" s="9">
        <v>163</v>
      </c>
      <c r="C397" s="2">
        <f aca="true" t="shared" si="40" ref="C397:C403">B397/28.349523</f>
        <v>5.749655823133249</v>
      </c>
      <c r="D397" s="2">
        <f>C397/16</f>
        <v>0.3593534889458281</v>
      </c>
      <c r="E397" s="4" t="s">
        <v>96</v>
      </c>
      <c r="F397" s="3"/>
    </row>
    <row r="398" spans="2:6" ht="12.75">
      <c r="B398" s="9">
        <v>29</v>
      </c>
      <c r="C398" s="2">
        <f t="shared" si="40"/>
        <v>1.0229449010482468</v>
      </c>
      <c r="D398" s="2"/>
      <c r="E398" s="4" t="s">
        <v>1712</v>
      </c>
      <c r="F398" s="3"/>
    </row>
    <row r="399" spans="2:6" ht="12.75">
      <c r="B399" s="9">
        <v>40</v>
      </c>
      <c r="C399" s="2">
        <f t="shared" si="40"/>
        <v>1.4109584842044784</v>
      </c>
      <c r="D399" s="2"/>
      <c r="E399" s="4" t="s">
        <v>83</v>
      </c>
      <c r="F399" s="3"/>
    </row>
    <row r="400" spans="2:17" ht="12.75">
      <c r="B400" s="9">
        <v>565</v>
      </c>
      <c r="C400" s="2">
        <f t="shared" si="40"/>
        <v>19.92978858938826</v>
      </c>
      <c r="D400" s="2">
        <f>C400/16</f>
        <v>1.2456117868367662</v>
      </c>
      <c r="E400" t="s">
        <v>1857</v>
      </c>
      <c r="F400" s="3"/>
      <c r="J400" t="s">
        <v>1860</v>
      </c>
      <c r="L400">
        <v>20</v>
      </c>
      <c r="M400" t="s">
        <v>1265</v>
      </c>
      <c r="N400" t="s">
        <v>1858</v>
      </c>
      <c r="P400" s="216">
        <f>C400/L400</f>
        <v>0.996489429469413</v>
      </c>
      <c r="Q400" t="s">
        <v>1490</v>
      </c>
    </row>
    <row r="401" spans="2:21" ht="12.75">
      <c r="B401" s="9">
        <v>176</v>
      </c>
      <c r="C401" s="2">
        <f t="shared" si="40"/>
        <v>6.208217330499705</v>
      </c>
      <c r="D401" s="2">
        <f>C401/16</f>
        <v>0.3880135831562316</v>
      </c>
      <c r="E401" t="s">
        <v>1859</v>
      </c>
      <c r="F401" s="3"/>
      <c r="J401" t="s">
        <v>1860</v>
      </c>
      <c r="L401" s="294">
        <v>5.9</v>
      </c>
      <c r="M401" t="s">
        <v>1861</v>
      </c>
      <c r="N401" t="s">
        <v>1858</v>
      </c>
      <c r="P401" s="295">
        <f>C401/L401</f>
        <v>1.0522402255084247</v>
      </c>
      <c r="Q401" t="s">
        <v>1490</v>
      </c>
      <c r="U401" s="296">
        <v>59.95</v>
      </c>
    </row>
    <row r="402" spans="2:21" ht="12.75">
      <c r="B402" s="9">
        <f>B400-B401</f>
        <v>389</v>
      </c>
      <c r="C402" s="2">
        <f t="shared" si="40"/>
        <v>13.721571258888552</v>
      </c>
      <c r="D402" s="2">
        <f>C402/28.349523</f>
        <v>0.4840141846086282</v>
      </c>
      <c r="E402" t="s">
        <v>1862</v>
      </c>
      <c r="F402" s="3"/>
      <c r="J402" t="s">
        <v>1860</v>
      </c>
      <c r="L402" s="294">
        <v>14</v>
      </c>
      <c r="M402" t="s">
        <v>1861</v>
      </c>
      <c r="N402" t="s">
        <v>1858</v>
      </c>
      <c r="P402" s="295">
        <f>C402/L402</f>
        <v>0.9801122327777537</v>
      </c>
      <c r="Q402" t="s">
        <v>1490</v>
      </c>
      <c r="U402" s="296">
        <v>19.95</v>
      </c>
    </row>
    <row r="403" spans="2:21" ht="12.75">
      <c r="B403" s="9">
        <v>35</v>
      </c>
      <c r="C403" s="2">
        <f t="shared" si="40"/>
        <v>1.2345886736789187</v>
      </c>
      <c r="D403" s="2"/>
      <c r="E403" s="6" t="s">
        <v>1864</v>
      </c>
      <c r="F403" s="3"/>
      <c r="J403" t="s">
        <v>1860</v>
      </c>
      <c r="L403" s="294">
        <v>1</v>
      </c>
      <c r="M403" t="s">
        <v>1861</v>
      </c>
      <c r="N403" t="s">
        <v>1858</v>
      </c>
      <c r="P403" s="295">
        <f>C403/L403</f>
        <v>1.2345886736789187</v>
      </c>
      <c r="Q403" t="s">
        <v>1490</v>
      </c>
      <c r="U403" t="s">
        <v>1863</v>
      </c>
    </row>
    <row r="404" spans="2:6" ht="12.75">
      <c r="B404" s="9"/>
      <c r="C404" s="2"/>
      <c r="D404" s="2"/>
      <c r="E404" s="4"/>
      <c r="F404" s="3"/>
    </row>
    <row r="405" spans="2:6" ht="12.75">
      <c r="B405" s="16">
        <v>76</v>
      </c>
      <c r="C405" s="2">
        <f aca="true" t="shared" si="41" ref="C405:C423">B405/28.349523</f>
        <v>2.680821119988509</v>
      </c>
      <c r="D405" s="2">
        <f>C405/16</f>
        <v>0.1675513199992818</v>
      </c>
      <c r="E405" s="4" t="s">
        <v>708</v>
      </c>
      <c r="F405" s="3"/>
    </row>
    <row r="406" spans="2:6" ht="12.75">
      <c r="B406" s="16">
        <v>60</v>
      </c>
      <c r="C406" s="2">
        <f t="shared" si="41"/>
        <v>2.116437726306718</v>
      </c>
      <c r="D406" s="2">
        <f aca="true" t="shared" si="42" ref="D406:D412">C406/16</f>
        <v>0.13227735789416986</v>
      </c>
      <c r="E406" s="4" t="s">
        <v>1147</v>
      </c>
      <c r="F406" s="3"/>
    </row>
    <row r="407" spans="2:6" ht="12.75">
      <c r="B407" s="16">
        <v>62</v>
      </c>
      <c r="C407" s="2">
        <f t="shared" si="41"/>
        <v>2.1869856505169416</v>
      </c>
      <c r="D407" s="2">
        <f t="shared" si="42"/>
        <v>0.13668660315730885</v>
      </c>
      <c r="E407" s="4" t="s">
        <v>1148</v>
      </c>
      <c r="F407" s="3"/>
    </row>
    <row r="408" spans="2:6" ht="12.75">
      <c r="B408" s="16">
        <v>63</v>
      </c>
      <c r="C408" s="2">
        <f t="shared" si="41"/>
        <v>2.2222596126220537</v>
      </c>
      <c r="D408" s="2">
        <f t="shared" si="42"/>
        <v>0.13889122578887836</v>
      </c>
      <c r="E408" s="4" t="s">
        <v>1149</v>
      </c>
      <c r="F408" s="3"/>
    </row>
    <row r="409" spans="2:6" ht="12.75">
      <c r="B409" s="16">
        <v>65</v>
      </c>
      <c r="C409" s="2">
        <f t="shared" si="41"/>
        <v>2.2928075368322776</v>
      </c>
      <c r="D409" s="2">
        <f t="shared" si="42"/>
        <v>0.14330047105201735</v>
      </c>
      <c r="E409" s="4" t="s">
        <v>1140</v>
      </c>
      <c r="F409" s="3"/>
    </row>
    <row r="410" spans="2:6" ht="12.75">
      <c r="B410" s="16">
        <v>71</v>
      </c>
      <c r="C410" s="2">
        <f t="shared" si="41"/>
        <v>2.504451309462949</v>
      </c>
      <c r="D410" s="2">
        <f t="shared" si="42"/>
        <v>0.15652820684143431</v>
      </c>
      <c r="E410" s="4" t="s">
        <v>1111</v>
      </c>
      <c r="F410" s="3"/>
    </row>
    <row r="411" spans="2:6" ht="12.75">
      <c r="B411" s="16">
        <v>98</v>
      </c>
      <c r="C411" s="2">
        <f t="shared" si="41"/>
        <v>3.456848286300972</v>
      </c>
      <c r="D411" s="2">
        <f t="shared" si="42"/>
        <v>0.21605301789381076</v>
      </c>
      <c r="E411" s="4" t="s">
        <v>1141</v>
      </c>
      <c r="F411" s="3"/>
    </row>
    <row r="412" spans="2:6" ht="12.75">
      <c r="B412" s="16">
        <v>50</v>
      </c>
      <c r="C412" s="2">
        <f t="shared" si="41"/>
        <v>1.763698105255598</v>
      </c>
      <c r="D412" s="2">
        <f t="shared" si="42"/>
        <v>0.11023113157847488</v>
      </c>
      <c r="E412" s="4" t="s">
        <v>1110</v>
      </c>
      <c r="F412" s="3"/>
    </row>
    <row r="413" spans="2:17" ht="12.75">
      <c r="B413" s="16">
        <v>358</v>
      </c>
      <c r="C413" s="2">
        <f aca="true" t="shared" si="43" ref="C413:C418">B413/28.349523</f>
        <v>12.628078433630082</v>
      </c>
      <c r="D413" s="2">
        <f>C413/16</f>
        <v>0.7892549021018801</v>
      </c>
      <c r="E413" s="4" t="s">
        <v>1044</v>
      </c>
      <c r="F413" s="3" t="s">
        <v>1045</v>
      </c>
      <c r="H413">
        <v>330</v>
      </c>
      <c r="I413" t="s">
        <v>1603</v>
      </c>
      <c r="J413" s="3">
        <f>B413-H413</f>
        <v>28</v>
      </c>
      <c r="K413" s="2">
        <f>J413/28.349523</f>
        <v>0.987670938943135</v>
      </c>
      <c r="L413" s="2">
        <f>K413/16</f>
        <v>0.061729433683945935</v>
      </c>
      <c r="M413" t="s">
        <v>1046</v>
      </c>
      <c r="P413" s="218">
        <f>B413/H413</f>
        <v>1.084848484848485</v>
      </c>
      <c r="Q413" t="s">
        <v>1490</v>
      </c>
    </row>
    <row r="414" spans="2:5" s="92" customFormat="1" ht="12.75" customHeight="1">
      <c r="B414" s="92">
        <v>84</v>
      </c>
      <c r="C414" s="94">
        <f t="shared" si="43"/>
        <v>2.9630128168294045</v>
      </c>
      <c r="D414" s="134"/>
      <c r="E414" s="138" t="s">
        <v>1953</v>
      </c>
    </row>
    <row r="415" spans="2:10" s="92" customFormat="1" ht="12.75" customHeight="1">
      <c r="B415" s="92">
        <f>168-34</f>
        <v>134</v>
      </c>
      <c r="C415" s="94">
        <f t="shared" si="43"/>
        <v>4.726710922085003</v>
      </c>
      <c r="D415" s="134"/>
      <c r="E415" s="138" t="s">
        <v>802</v>
      </c>
      <c r="J415" s="92" t="s">
        <v>1954</v>
      </c>
    </row>
    <row r="416" spans="2:10" s="92" customFormat="1" ht="12.75" customHeight="1">
      <c r="B416" s="93">
        <f>31*3/4</f>
        <v>23.25</v>
      </c>
      <c r="C416" s="94">
        <f t="shared" si="43"/>
        <v>0.8201196189438531</v>
      </c>
      <c r="D416" s="94"/>
      <c r="E416" s="92" t="s">
        <v>1152</v>
      </c>
      <c r="J416" s="92" t="s">
        <v>803</v>
      </c>
    </row>
    <row r="417" spans="2:9" s="92" customFormat="1" ht="12.75" customHeight="1">
      <c r="B417" s="93">
        <v>168</v>
      </c>
      <c r="C417" s="94">
        <f t="shared" si="43"/>
        <v>5.926025633658809</v>
      </c>
      <c r="D417" s="94"/>
      <c r="E417" s="138" t="s">
        <v>1951</v>
      </c>
      <c r="I417" s="92" t="s">
        <v>1952</v>
      </c>
    </row>
    <row r="418" spans="2:5" s="92" customFormat="1" ht="12.75" customHeight="1">
      <c r="B418" s="93">
        <f>B415+B416</f>
        <v>157.25</v>
      </c>
      <c r="C418" s="94">
        <f t="shared" si="43"/>
        <v>5.546830541028855</v>
      </c>
      <c r="D418" s="94"/>
      <c r="E418" s="138" t="s">
        <v>804</v>
      </c>
    </row>
    <row r="419" spans="2:6" ht="12.75">
      <c r="B419" s="16">
        <v>485</v>
      </c>
      <c r="C419" s="2">
        <f t="shared" si="41"/>
        <v>17.1078716209793</v>
      </c>
      <c r="D419" s="2">
        <f>C419/16</f>
        <v>1.0692419763112062</v>
      </c>
      <c r="E419" s="4" t="s">
        <v>1891</v>
      </c>
      <c r="F419" s="3"/>
    </row>
    <row r="420" spans="2:6" ht="12.75">
      <c r="B420" s="9">
        <v>386</v>
      </c>
      <c r="C420" s="2">
        <f t="shared" si="41"/>
        <v>13.615749372573218</v>
      </c>
      <c r="D420" s="2">
        <f>C420/16</f>
        <v>0.8509843357858261</v>
      </c>
      <c r="E420" s="11" t="s">
        <v>68</v>
      </c>
      <c r="F420" s="3"/>
    </row>
    <row r="421" spans="2:6" ht="12.75">
      <c r="B421" s="9">
        <v>408</v>
      </c>
      <c r="C421" s="2">
        <f t="shared" si="41"/>
        <v>14.39177653888568</v>
      </c>
      <c r="D421" s="2">
        <f>C421/16</f>
        <v>0.899486033680355</v>
      </c>
      <c r="E421" s="11" t="s">
        <v>2065</v>
      </c>
      <c r="F421" s="3"/>
    </row>
    <row r="422" spans="2:21" ht="12.75">
      <c r="B422" s="9">
        <f>B421-B420</f>
        <v>22</v>
      </c>
      <c r="C422" s="2">
        <f t="shared" si="41"/>
        <v>0.7760271663124632</v>
      </c>
      <c r="D422" s="2">
        <f>C422/16</f>
        <v>0.04850169789452895</v>
      </c>
      <c r="E422" s="11" t="s">
        <v>2064</v>
      </c>
      <c r="F422" s="3"/>
      <c r="U422">
        <f>306/F1</f>
        <v>10.79383240416426</v>
      </c>
    </row>
    <row r="423" spans="2:6" ht="12.75">
      <c r="B423" s="9">
        <v>44</v>
      </c>
      <c r="C423" s="2">
        <f t="shared" si="41"/>
        <v>1.5520543326249263</v>
      </c>
      <c r="D423" s="2">
        <f>C423/16</f>
        <v>0.0970033957890579</v>
      </c>
      <c r="E423" s="11" t="s">
        <v>67</v>
      </c>
      <c r="F423" s="3"/>
    </row>
    <row r="424" spans="2:6" ht="12.75">
      <c r="B424" s="22">
        <v>719</v>
      </c>
      <c r="C424" s="2">
        <f aca="true" t="shared" si="44" ref="C424:C442">B424/28.349523</f>
        <v>25.3619787535755</v>
      </c>
      <c r="D424" s="2">
        <f aca="true" t="shared" si="45" ref="D424:D442">C424/16</f>
        <v>1.5851236720984687</v>
      </c>
      <c r="E424" s="12" t="s">
        <v>66</v>
      </c>
      <c r="F424" s="3"/>
    </row>
    <row r="425" spans="2:6" ht="12.75">
      <c r="B425" s="22">
        <v>246</v>
      </c>
      <c r="C425" s="3">
        <f t="shared" si="44"/>
        <v>8.677394677857542</v>
      </c>
      <c r="D425" s="2">
        <f t="shared" si="45"/>
        <v>0.5423371673660964</v>
      </c>
      <c r="E425" s="12" t="s">
        <v>502</v>
      </c>
      <c r="F425" s="3"/>
    </row>
    <row r="426" spans="2:15" ht="12.75">
      <c r="B426" s="22">
        <v>233</v>
      </c>
      <c r="C426" s="3">
        <f t="shared" si="44"/>
        <v>8.218833170491086</v>
      </c>
      <c r="D426" s="2">
        <f t="shared" si="45"/>
        <v>0.5136770731556929</v>
      </c>
      <c r="E426" s="12" t="s">
        <v>503</v>
      </c>
      <c r="F426" s="3"/>
      <c r="L426">
        <f>B426-(B429/2)</f>
        <v>53.5</v>
      </c>
      <c r="M426" s="3">
        <f>L426/28.349523</f>
        <v>1.8871569726234898</v>
      </c>
      <c r="N426" s="2">
        <f>M426/16</f>
        <v>0.11794731078896811</v>
      </c>
      <c r="O426" t="s">
        <v>1835</v>
      </c>
    </row>
    <row r="427" spans="2:6" ht="12.75">
      <c r="B427" s="22">
        <v>8</v>
      </c>
      <c r="C427" s="3">
        <f t="shared" si="44"/>
        <v>0.2821916968408957</v>
      </c>
      <c r="D427" s="2"/>
      <c r="E427" s="12" t="s">
        <v>1426</v>
      </c>
      <c r="F427" s="3"/>
    </row>
    <row r="428" spans="2:6" ht="12.75">
      <c r="B428" s="22">
        <v>180</v>
      </c>
      <c r="C428" s="3">
        <f t="shared" si="44"/>
        <v>6.349313178920153</v>
      </c>
      <c r="D428" s="2">
        <f t="shared" si="45"/>
        <v>0.39683207368250956</v>
      </c>
      <c r="E428" s="12" t="s">
        <v>1424</v>
      </c>
      <c r="F428" s="3"/>
    </row>
    <row r="429" spans="2:11" ht="12.75">
      <c r="B429" s="22">
        <v>359</v>
      </c>
      <c r="C429" s="3">
        <f t="shared" si="44"/>
        <v>12.663352395735194</v>
      </c>
      <c r="D429" s="2">
        <f t="shared" si="45"/>
        <v>0.7914595247334496</v>
      </c>
      <c r="E429" s="12" t="s">
        <v>1427</v>
      </c>
      <c r="F429" s="3"/>
      <c r="J429" s="216">
        <f>C429/12.4</f>
        <v>1.0212380964302574</v>
      </c>
      <c r="K429" t="s">
        <v>2129</v>
      </c>
    </row>
    <row r="430" spans="2:10" ht="12.75">
      <c r="B430" s="22">
        <v>16</v>
      </c>
      <c r="C430" s="3">
        <f t="shared" si="44"/>
        <v>0.5643833936817914</v>
      </c>
      <c r="D430" s="2">
        <f t="shared" si="45"/>
        <v>0.03527396210511196</v>
      </c>
      <c r="E430" s="12" t="s">
        <v>1425</v>
      </c>
      <c r="F430" s="3"/>
      <c r="J430" s="216"/>
    </row>
    <row r="431" spans="2:20" ht="12.75">
      <c r="B431" s="22">
        <v>338</v>
      </c>
      <c r="C431" s="3">
        <f t="shared" si="44"/>
        <v>11.922599191527842</v>
      </c>
      <c r="D431" s="2">
        <f t="shared" si="45"/>
        <v>0.7451624494704902</v>
      </c>
      <c r="E431" s="12" t="s">
        <v>2128</v>
      </c>
      <c r="F431" s="3"/>
      <c r="J431" s="216">
        <f>C431/11.2</f>
        <v>1.064517784957843</v>
      </c>
      <c r="K431" t="s">
        <v>1428</v>
      </c>
      <c r="O431">
        <v>24.5</v>
      </c>
      <c r="P431" t="s">
        <v>2131</v>
      </c>
      <c r="S431" s="217">
        <f>24.5/24</f>
        <v>1.0208333333333333</v>
      </c>
      <c r="T431" t="s">
        <v>2132</v>
      </c>
    </row>
    <row r="432" spans="2:10" ht="12.75">
      <c r="B432" s="22">
        <v>169.5</v>
      </c>
      <c r="C432" s="3">
        <f t="shared" si="44"/>
        <v>5.978936576816477</v>
      </c>
      <c r="D432" s="2">
        <f t="shared" si="45"/>
        <v>0.37368353605102983</v>
      </c>
      <c r="E432" s="12" t="s">
        <v>2130</v>
      </c>
      <c r="F432" s="3"/>
      <c r="J432" s="216"/>
    </row>
    <row r="433" spans="2:6" ht="12.75">
      <c r="B433" s="22">
        <v>21</v>
      </c>
      <c r="C433" s="3">
        <f t="shared" si="44"/>
        <v>0.7407532042073511</v>
      </c>
      <c r="D433" s="2">
        <f t="shared" si="45"/>
        <v>0.046297075262959446</v>
      </c>
      <c r="E433" s="12" t="s">
        <v>1401</v>
      </c>
      <c r="F433" s="3"/>
    </row>
    <row r="434" spans="2:6" ht="12.75">
      <c r="B434" s="22">
        <v>6</v>
      </c>
      <c r="C434" s="3">
        <f t="shared" si="44"/>
        <v>0.21164377263067177</v>
      </c>
      <c r="D434" s="2">
        <f t="shared" si="45"/>
        <v>0.013227735789416986</v>
      </c>
      <c r="E434" s="12" t="s">
        <v>1400</v>
      </c>
      <c r="F434" s="3"/>
    </row>
    <row r="435" spans="2:6" ht="12.75">
      <c r="B435" s="22">
        <v>6</v>
      </c>
      <c r="C435" s="2">
        <f t="shared" si="44"/>
        <v>0.21164377263067177</v>
      </c>
      <c r="D435" s="2">
        <f t="shared" si="45"/>
        <v>0.013227735789416986</v>
      </c>
      <c r="E435" s="12" t="s">
        <v>1398</v>
      </c>
      <c r="F435" s="3"/>
    </row>
    <row r="436" spans="2:6" ht="12.75">
      <c r="B436" s="22">
        <v>7</v>
      </c>
      <c r="C436" s="2">
        <f t="shared" si="44"/>
        <v>0.24691773473578374</v>
      </c>
      <c r="D436" s="2">
        <f t="shared" si="45"/>
        <v>0.015432358420986484</v>
      </c>
      <c r="E436" s="12" t="s">
        <v>771</v>
      </c>
      <c r="F436" s="3"/>
    </row>
    <row r="437" spans="2:6" ht="12.75">
      <c r="B437" s="22">
        <v>240</v>
      </c>
      <c r="C437" s="2">
        <f t="shared" si="44"/>
        <v>8.465750905226871</v>
      </c>
      <c r="D437" s="2">
        <f t="shared" si="45"/>
        <v>0.5291094315766794</v>
      </c>
      <c r="E437" s="12" t="s">
        <v>773</v>
      </c>
      <c r="F437" s="3"/>
    </row>
    <row r="438" spans="2:12" ht="12.75">
      <c r="B438" s="22">
        <v>239</v>
      </c>
      <c r="C438" s="2">
        <f t="shared" si="44"/>
        <v>8.430476943121759</v>
      </c>
      <c r="D438" s="2">
        <f t="shared" si="45"/>
        <v>0.5269048089451099</v>
      </c>
      <c r="E438" s="12" t="s">
        <v>773</v>
      </c>
      <c r="F438" s="3"/>
      <c r="I438">
        <f>(B436+B438)/2</f>
        <v>123</v>
      </c>
      <c r="J438" t="s">
        <v>772</v>
      </c>
      <c r="K438" s="3">
        <f>(C436+C438)/2</f>
        <v>4.338697338928771</v>
      </c>
      <c r="L438" t="s">
        <v>1219</v>
      </c>
    </row>
    <row r="439" spans="2:11" ht="12.75">
      <c r="B439" s="22">
        <v>215</v>
      </c>
      <c r="C439" s="2">
        <f t="shared" si="44"/>
        <v>7.583901852599071</v>
      </c>
      <c r="D439" s="2">
        <f t="shared" si="45"/>
        <v>0.47399386578744196</v>
      </c>
      <c r="E439" s="12" t="s">
        <v>1399</v>
      </c>
      <c r="F439" s="3"/>
      <c r="K439" s="3"/>
    </row>
    <row r="440" spans="2:11" ht="12.75">
      <c r="B440" s="22">
        <v>221</v>
      </c>
      <c r="C440" s="2">
        <f t="shared" si="44"/>
        <v>7.795545625229743</v>
      </c>
      <c r="D440" s="2">
        <f t="shared" si="45"/>
        <v>0.48722160157685895</v>
      </c>
      <c r="E440" s="12" t="s">
        <v>1457</v>
      </c>
      <c r="F440" s="3"/>
      <c r="K440" s="3"/>
    </row>
    <row r="441" spans="2:11" ht="12.75">
      <c r="B441" s="22">
        <v>219</v>
      </c>
      <c r="C441" s="2">
        <f t="shared" si="44"/>
        <v>7.724997701019519</v>
      </c>
      <c r="D441" s="2">
        <f t="shared" si="45"/>
        <v>0.48281235631371994</v>
      </c>
      <c r="E441" s="12" t="s">
        <v>574</v>
      </c>
      <c r="F441" s="3"/>
      <c r="K441" s="3"/>
    </row>
    <row r="442" spans="2:6" ht="12.75">
      <c r="B442" s="22">
        <v>35</v>
      </c>
      <c r="C442" s="2">
        <f t="shared" si="44"/>
        <v>1.2345886736789187</v>
      </c>
      <c r="D442" s="2">
        <f t="shared" si="45"/>
        <v>0.07716179210493242</v>
      </c>
      <c r="E442" s="12" t="s">
        <v>770</v>
      </c>
      <c r="F442" s="3"/>
    </row>
    <row r="443" spans="2:6" ht="12.75">
      <c r="B443" s="16">
        <v>343</v>
      </c>
      <c r="C443" s="2">
        <f aca="true" t="shared" si="46" ref="C443:C448">B443/28.349523</f>
        <v>12.098969002053403</v>
      </c>
      <c r="D443" s="2">
        <f aca="true" t="shared" si="47" ref="D443:D448">C443/16</f>
        <v>0.7561855626283377</v>
      </c>
      <c r="E443" s="4" t="s">
        <v>1175</v>
      </c>
      <c r="F443" s="3"/>
    </row>
    <row r="444" spans="2:11" ht="12.75">
      <c r="B444" s="16">
        <f>289+291</f>
        <v>580</v>
      </c>
      <c r="C444" s="2">
        <f t="shared" si="46"/>
        <v>20.458898020964938</v>
      </c>
      <c r="D444" s="2">
        <f t="shared" si="47"/>
        <v>1.2786811263103086</v>
      </c>
      <c r="E444" s="4" t="s">
        <v>1220</v>
      </c>
      <c r="F444" s="3"/>
      <c r="J444" s="3">
        <f>C444/2</f>
        <v>10.229449010482469</v>
      </c>
      <c r="K444" t="s">
        <v>1219</v>
      </c>
    </row>
    <row r="445" spans="2:5" ht="12.75">
      <c r="B445" s="9">
        <v>634</v>
      </c>
      <c r="C445" s="2">
        <f t="shared" si="46"/>
        <v>22.363691974640982</v>
      </c>
      <c r="D445" s="2">
        <f t="shared" si="47"/>
        <v>1.3977307484150614</v>
      </c>
      <c r="E445" t="s">
        <v>197</v>
      </c>
    </row>
    <row r="446" spans="2:5" ht="12.75">
      <c r="B446" s="9">
        <v>593</v>
      </c>
      <c r="C446" s="2">
        <f t="shared" si="46"/>
        <v>20.917459528331392</v>
      </c>
      <c r="D446" s="2">
        <f t="shared" si="47"/>
        <v>1.307341220520712</v>
      </c>
      <c r="E446" s="12" t="s">
        <v>339</v>
      </c>
    </row>
    <row r="447" spans="2:6" ht="12.75">
      <c r="B447" s="9">
        <v>583</v>
      </c>
      <c r="C447" s="2">
        <f t="shared" si="46"/>
        <v>20.564719907280274</v>
      </c>
      <c r="D447" s="2">
        <f t="shared" si="47"/>
        <v>1.2852949942050171</v>
      </c>
      <c r="E447" s="12" t="s">
        <v>1688</v>
      </c>
      <c r="F447" s="3"/>
    </row>
    <row r="448" spans="2:16" ht="12.75">
      <c r="B448" s="9">
        <f>746+747</f>
        <v>1493</v>
      </c>
      <c r="C448" s="2">
        <f t="shared" si="46"/>
        <v>52.664025422932156</v>
      </c>
      <c r="D448" s="2">
        <f t="shared" si="47"/>
        <v>3.2915015889332597</v>
      </c>
      <c r="E448" s="12" t="s">
        <v>1489</v>
      </c>
      <c r="F448" s="3"/>
      <c r="O448" s="218">
        <f>C448/50</f>
        <v>1.0532805084586432</v>
      </c>
      <c r="P448" t="s">
        <v>1490</v>
      </c>
    </row>
    <row r="449" spans="2:6" ht="12.75">
      <c r="B449" s="9">
        <v>335</v>
      </c>
      <c r="C449" s="2">
        <f aca="true" t="shared" si="48" ref="C449:C456">B449/28.349523</f>
        <v>11.816777305212506</v>
      </c>
      <c r="D449" s="2">
        <f aca="true" t="shared" si="49" ref="D449:D456">C449/16</f>
        <v>0.7385485815757816</v>
      </c>
      <c r="E449" s="19" t="s">
        <v>2108</v>
      </c>
      <c r="F449" s="3"/>
    </row>
    <row r="450" spans="2:6" ht="12.75">
      <c r="B450" s="9">
        <v>12</v>
      </c>
      <c r="C450" s="2">
        <f t="shared" si="48"/>
        <v>0.42328754526134355</v>
      </c>
      <c r="D450" s="2">
        <f t="shared" si="49"/>
        <v>0.02645547157883397</v>
      </c>
      <c r="E450" s="4" t="s">
        <v>58</v>
      </c>
      <c r="F450" s="3"/>
    </row>
    <row r="451" spans="2:6" ht="12.75">
      <c r="B451" s="9">
        <v>13</v>
      </c>
      <c r="C451" s="2">
        <f t="shared" si="48"/>
        <v>0.4585615073664555</v>
      </c>
      <c r="D451" s="2">
        <f t="shared" si="49"/>
        <v>0.02866009421040347</v>
      </c>
      <c r="E451" s="4" t="s">
        <v>59</v>
      </c>
      <c r="F451" s="3"/>
    </row>
    <row r="452" spans="2:6" ht="12.75">
      <c r="B452" s="17">
        <v>35</v>
      </c>
      <c r="C452" s="2">
        <f t="shared" si="48"/>
        <v>1.2345886736789187</v>
      </c>
      <c r="D452" s="2">
        <f t="shared" si="49"/>
        <v>0.07716179210493242</v>
      </c>
      <c r="E452" s="4" t="s">
        <v>60</v>
      </c>
      <c r="F452" s="3"/>
    </row>
    <row r="453" spans="2:6" ht="12.75">
      <c r="B453" s="17">
        <v>7</v>
      </c>
      <c r="C453" s="2">
        <f t="shared" si="48"/>
        <v>0.24691773473578374</v>
      </c>
      <c r="D453" s="2">
        <f t="shared" si="49"/>
        <v>0.015432358420986484</v>
      </c>
      <c r="E453" s="4" t="s">
        <v>61</v>
      </c>
      <c r="F453" s="3"/>
    </row>
    <row r="454" spans="2:6" ht="12.75">
      <c r="B454" s="17">
        <v>22</v>
      </c>
      <c r="C454" s="2">
        <f t="shared" si="48"/>
        <v>0.7760271663124632</v>
      </c>
      <c r="D454" s="2">
        <f t="shared" si="49"/>
        <v>0.04850169789452895</v>
      </c>
      <c r="E454" s="4" t="s">
        <v>62</v>
      </c>
      <c r="F454" s="3"/>
    </row>
    <row r="455" spans="2:6" ht="12.75">
      <c r="B455" s="17">
        <v>12</v>
      </c>
      <c r="C455" s="2">
        <f t="shared" si="48"/>
        <v>0.42328754526134355</v>
      </c>
      <c r="D455" s="2">
        <f t="shared" si="49"/>
        <v>0.02645547157883397</v>
      </c>
      <c r="E455" s="4" t="s">
        <v>63</v>
      </c>
      <c r="F455" s="3"/>
    </row>
    <row r="456" spans="2:6" ht="12.75">
      <c r="B456" s="17">
        <f>B449-B450-B451-B452</f>
        <v>275</v>
      </c>
      <c r="C456" s="2">
        <f t="shared" si="48"/>
        <v>9.700339578905789</v>
      </c>
      <c r="D456" s="2">
        <f t="shared" si="49"/>
        <v>0.6062712236816118</v>
      </c>
      <c r="E456" s="4" t="s">
        <v>65</v>
      </c>
      <c r="F456" s="3"/>
    </row>
    <row r="457" spans="2:6" ht="12.75">
      <c r="B457" s="9"/>
      <c r="C457" s="2"/>
      <c r="D457" s="2"/>
      <c r="E457" s="19"/>
      <c r="F457" s="3"/>
    </row>
    <row r="458" spans="2:6" ht="12.75">
      <c r="B458" s="16">
        <v>52</v>
      </c>
      <c r="C458" s="2">
        <f aca="true" t="shared" si="50" ref="C458:C464">B458/28.349523</f>
        <v>1.834246029465822</v>
      </c>
      <c r="D458" s="2">
        <f aca="true" t="shared" si="51" ref="D458:D464">C458/16</f>
        <v>0.11464037684161388</v>
      </c>
      <c r="E458" s="4" t="s">
        <v>1179</v>
      </c>
      <c r="F458" s="3"/>
    </row>
    <row r="459" spans="2:6" ht="12.75">
      <c r="B459" s="16">
        <f>56/4</f>
        <v>14</v>
      </c>
      <c r="C459" s="2">
        <f t="shared" si="50"/>
        <v>0.4938354694715675</v>
      </c>
      <c r="D459" s="2">
        <f t="shared" si="51"/>
        <v>0.030864716841972967</v>
      </c>
      <c r="E459" s="4" t="s">
        <v>1180</v>
      </c>
      <c r="F459" s="3"/>
    </row>
    <row r="460" spans="2:6" ht="12.75">
      <c r="B460" s="16">
        <f>146/6</f>
        <v>24.333333333333332</v>
      </c>
      <c r="C460" s="2">
        <f t="shared" si="50"/>
        <v>0.8583330778910577</v>
      </c>
      <c r="D460" s="2">
        <f t="shared" si="51"/>
        <v>0.05364581736819111</v>
      </c>
      <c r="E460" s="4" t="s">
        <v>1181</v>
      </c>
      <c r="F460" s="3"/>
    </row>
    <row r="461" spans="2:6" ht="12.75">
      <c r="B461" s="16">
        <v>6</v>
      </c>
      <c r="C461" s="2">
        <f t="shared" si="50"/>
        <v>0.21164377263067177</v>
      </c>
      <c r="D461" s="2">
        <f t="shared" si="51"/>
        <v>0.013227735789416986</v>
      </c>
      <c r="E461" s="4" t="s">
        <v>1183</v>
      </c>
      <c r="F461" s="3"/>
    </row>
    <row r="462" spans="2:6" ht="12.75">
      <c r="B462" s="16">
        <v>6</v>
      </c>
      <c r="C462" s="2">
        <f t="shared" si="50"/>
        <v>0.21164377263067177</v>
      </c>
      <c r="D462" s="2">
        <f t="shared" si="51"/>
        <v>0.013227735789416986</v>
      </c>
      <c r="E462" s="12" t="s">
        <v>2111</v>
      </c>
      <c r="F462" s="3"/>
    </row>
    <row r="463" spans="2:6" ht="12.75">
      <c r="B463" s="16">
        <v>6</v>
      </c>
      <c r="C463" s="2">
        <f t="shared" si="50"/>
        <v>0.21164377263067177</v>
      </c>
      <c r="D463" s="2">
        <f t="shared" si="51"/>
        <v>0.013227735789416986</v>
      </c>
      <c r="E463" s="4" t="s">
        <v>1733</v>
      </c>
      <c r="F463" s="3"/>
    </row>
    <row r="464" spans="2:6" ht="12.75">
      <c r="B464" s="9">
        <v>5</v>
      </c>
      <c r="C464" s="2">
        <f t="shared" si="50"/>
        <v>0.1763698105255598</v>
      </c>
      <c r="D464" s="2">
        <f t="shared" si="51"/>
        <v>0.011023113157847488</v>
      </c>
      <c r="E464" t="s">
        <v>1607</v>
      </c>
      <c r="F464" s="3"/>
    </row>
    <row r="465" spans="2:4" ht="12.75">
      <c r="B465" s="9"/>
      <c r="C465" s="2"/>
      <c r="D465" s="2"/>
    </row>
    <row r="466" spans="3:5" ht="12.75">
      <c r="C466" s="3"/>
      <c r="D466" s="3"/>
      <c r="E466" s="13" t="s">
        <v>775</v>
      </c>
    </row>
    <row r="467" spans="2:5" ht="12.75">
      <c r="B467">
        <v>28</v>
      </c>
      <c r="C467" s="3">
        <f aca="true" t="shared" si="52" ref="C467:C476">B467/28.349523</f>
        <v>0.987670938943135</v>
      </c>
      <c r="D467" s="3">
        <f aca="true" t="shared" si="53" ref="D467:D476">C467/16</f>
        <v>0.061729433683945935</v>
      </c>
      <c r="E467" s="13" t="s">
        <v>776</v>
      </c>
    </row>
    <row r="468" spans="2:5" ht="12.75">
      <c r="B468">
        <v>37</v>
      </c>
      <c r="C468" s="3">
        <f t="shared" si="52"/>
        <v>1.3051365978891425</v>
      </c>
      <c r="D468" s="3">
        <f t="shared" si="53"/>
        <v>0.0815710373680714</v>
      </c>
      <c r="E468" s="13" t="s">
        <v>777</v>
      </c>
    </row>
    <row r="469" spans="2:5" ht="12.75">
      <c r="B469" s="16">
        <v>49</v>
      </c>
      <c r="C469" s="2">
        <f t="shared" si="52"/>
        <v>1.728424143150486</v>
      </c>
      <c r="D469" s="2">
        <f t="shared" si="53"/>
        <v>0.10802650894690538</v>
      </c>
      <c r="E469" s="4" t="s">
        <v>686</v>
      </c>
    </row>
    <row r="470" spans="2:5" ht="12.75">
      <c r="B470">
        <v>52</v>
      </c>
      <c r="C470" s="3">
        <f t="shared" si="52"/>
        <v>1.834246029465822</v>
      </c>
      <c r="D470" s="3">
        <f t="shared" si="53"/>
        <v>0.11464037684161388</v>
      </c>
      <c r="E470" s="13" t="s">
        <v>778</v>
      </c>
    </row>
    <row r="471" spans="2:5" ht="12.75">
      <c r="B471">
        <v>187</v>
      </c>
      <c r="C471" s="3">
        <f t="shared" si="52"/>
        <v>6.596230913655937</v>
      </c>
      <c r="D471" s="3">
        <f t="shared" si="53"/>
        <v>0.41226443210349606</v>
      </c>
      <c r="E471" s="13" t="s">
        <v>787</v>
      </c>
    </row>
    <row r="472" spans="2:5" ht="12.75">
      <c r="B472">
        <v>2</v>
      </c>
      <c r="C472" s="3">
        <f t="shared" si="52"/>
        <v>0.07054792421022392</v>
      </c>
      <c r="D472" s="3">
        <f t="shared" si="53"/>
        <v>0.004409245263138995</v>
      </c>
      <c r="E472" s="13" t="s">
        <v>779</v>
      </c>
    </row>
    <row r="473" spans="2:5" ht="12.75">
      <c r="B473">
        <f>187+28</f>
        <v>215</v>
      </c>
      <c r="C473" s="3">
        <f t="shared" si="52"/>
        <v>7.583901852599071</v>
      </c>
      <c r="D473" s="3">
        <f t="shared" si="53"/>
        <v>0.47399386578744196</v>
      </c>
      <c r="E473" s="13" t="s">
        <v>780</v>
      </c>
    </row>
    <row r="474" spans="2:5" ht="12.75">
      <c r="B474">
        <f>187+37</f>
        <v>224</v>
      </c>
      <c r="C474" s="3">
        <f t="shared" si="52"/>
        <v>7.90136751154508</v>
      </c>
      <c r="D474" s="3">
        <f t="shared" si="53"/>
        <v>0.4938354694715675</v>
      </c>
      <c r="E474" s="13" t="s">
        <v>781</v>
      </c>
    </row>
    <row r="475" spans="2:5" ht="12.75">
      <c r="B475" s="16">
        <v>39</v>
      </c>
      <c r="C475" s="3">
        <f t="shared" si="52"/>
        <v>1.3756845220993665</v>
      </c>
      <c r="D475" s="3">
        <f t="shared" si="53"/>
        <v>0.08598028263121041</v>
      </c>
      <c r="E475" s="4" t="s">
        <v>1825</v>
      </c>
    </row>
    <row r="476" spans="2:5" ht="12.75">
      <c r="B476" s="9">
        <v>8</v>
      </c>
      <c r="C476" s="3">
        <f t="shared" si="52"/>
        <v>0.2821916968408957</v>
      </c>
      <c r="D476" s="3">
        <f t="shared" si="53"/>
        <v>0.01763698105255598</v>
      </c>
      <c r="E476" s="11" t="s">
        <v>1826</v>
      </c>
    </row>
    <row r="477" spans="2:5" ht="12.75">
      <c r="B477" s="16">
        <v>52</v>
      </c>
      <c r="C477" s="2">
        <f>B477/28.349523</f>
        <v>1.834246029465822</v>
      </c>
      <c r="D477" s="3"/>
      <c r="E477" s="4" t="s">
        <v>716</v>
      </c>
    </row>
    <row r="478" spans="2:5" ht="12.75">
      <c r="B478" s="16">
        <v>31</v>
      </c>
      <c r="C478" s="2">
        <f>B478/28.349523</f>
        <v>1.0934928252584708</v>
      </c>
      <c r="D478" s="3"/>
      <c r="E478" s="4" t="s">
        <v>149</v>
      </c>
    </row>
    <row r="479" spans="2:5" ht="12.75">
      <c r="B479" s="9">
        <v>49</v>
      </c>
      <c r="C479" s="2">
        <f>B479/28.349523</f>
        <v>1.728424143150486</v>
      </c>
      <c r="D479" s="2">
        <f>C479/16</f>
        <v>0.10802650894690538</v>
      </c>
      <c r="E479" s="12" t="s">
        <v>1719</v>
      </c>
    </row>
    <row r="480" spans="2:5" ht="12.75">
      <c r="B480" s="9"/>
      <c r="C480" s="2"/>
      <c r="D480" s="2"/>
      <c r="E480" s="12"/>
    </row>
    <row r="481" spans="2:5" ht="12.75">
      <c r="B481" s="9">
        <v>14</v>
      </c>
      <c r="C481" s="2">
        <f aca="true" t="shared" si="54" ref="C481:C488">B481/28.349523</f>
        <v>0.4938354694715675</v>
      </c>
      <c r="D481" s="3"/>
      <c r="E481" s="15" t="s">
        <v>341</v>
      </c>
    </row>
    <row r="482" spans="2:5" ht="12.75">
      <c r="B482" s="9">
        <v>33</v>
      </c>
      <c r="C482" s="2">
        <f t="shared" si="54"/>
        <v>1.1640407494686946</v>
      </c>
      <c r="D482" s="2">
        <f aca="true" t="shared" si="55" ref="D482:D488">C482/16</f>
        <v>0.07275254684179341</v>
      </c>
      <c r="E482" s="11" t="s">
        <v>1479</v>
      </c>
    </row>
    <row r="483" spans="2:6" ht="12.75">
      <c r="B483" s="9">
        <v>246</v>
      </c>
      <c r="C483" s="2">
        <f t="shared" si="54"/>
        <v>8.677394677857542</v>
      </c>
      <c r="D483" s="2">
        <f t="shared" si="55"/>
        <v>0.5423371673660964</v>
      </c>
      <c r="E483" s="4" t="s">
        <v>1985</v>
      </c>
      <c r="F483" s="3"/>
    </row>
    <row r="484" spans="2:6" ht="12.75">
      <c r="B484" s="9">
        <v>251</v>
      </c>
      <c r="C484" s="2">
        <f t="shared" si="54"/>
        <v>8.853764488383103</v>
      </c>
      <c r="D484" s="2">
        <f t="shared" si="55"/>
        <v>0.5533602805239439</v>
      </c>
      <c r="E484" s="4" t="s">
        <v>2127</v>
      </c>
      <c r="F484" s="3"/>
    </row>
    <row r="485" spans="2:6" ht="12.75">
      <c r="B485" s="9">
        <v>233</v>
      </c>
      <c r="C485" s="2">
        <f t="shared" si="54"/>
        <v>8.218833170491086</v>
      </c>
      <c r="D485" s="2">
        <f t="shared" si="55"/>
        <v>0.5136770731556929</v>
      </c>
      <c r="E485" s="4" t="s">
        <v>1433</v>
      </c>
      <c r="F485" s="3"/>
    </row>
    <row r="486" spans="2:7" ht="12.75">
      <c r="B486" s="9">
        <v>290</v>
      </c>
      <c r="C486" s="2">
        <f t="shared" si="54"/>
        <v>10.229449010482469</v>
      </c>
      <c r="D486" s="2">
        <f t="shared" si="55"/>
        <v>0.6393405631551543</v>
      </c>
      <c r="E486" s="4" t="s">
        <v>1986</v>
      </c>
      <c r="F486" s="3"/>
      <c r="G486" t="s">
        <v>192</v>
      </c>
    </row>
    <row r="487" spans="2:6" ht="12.75">
      <c r="B487" s="9">
        <v>320</v>
      </c>
      <c r="C487" s="2">
        <f t="shared" si="54"/>
        <v>11.287667873635828</v>
      </c>
      <c r="D487" s="2">
        <f t="shared" si="55"/>
        <v>0.7054792421022392</v>
      </c>
      <c r="E487" s="4" t="s">
        <v>1987</v>
      </c>
      <c r="F487" s="3"/>
    </row>
    <row r="488" spans="2:6" ht="12.75">
      <c r="B488" s="9">
        <v>15</v>
      </c>
      <c r="C488" s="2">
        <f t="shared" si="54"/>
        <v>0.5291094315766794</v>
      </c>
      <c r="D488" s="2">
        <f t="shared" si="55"/>
        <v>0.033069339473542465</v>
      </c>
      <c r="E488" s="6" t="s">
        <v>1063</v>
      </c>
      <c r="F488" s="3"/>
    </row>
    <row r="490" spans="2:6" ht="12.75">
      <c r="B490" s="9">
        <v>326</v>
      </c>
      <c r="C490" s="2">
        <f aca="true" t="shared" si="56" ref="C490:C499">B490/28.349523</f>
        <v>11.499311646266499</v>
      </c>
      <c r="D490" s="2">
        <f>C490/16</f>
        <v>0.7187069778916562</v>
      </c>
      <c r="E490" s="4" t="s">
        <v>1984</v>
      </c>
      <c r="F490" s="3"/>
    </row>
    <row r="491" spans="2:6" ht="12.75">
      <c r="B491" s="9">
        <v>346</v>
      </c>
      <c r="C491" s="2">
        <f t="shared" si="56"/>
        <v>12.204790888368738</v>
      </c>
      <c r="D491" s="2">
        <f>C491/16</f>
        <v>0.7627994305230461</v>
      </c>
      <c r="E491" s="4" t="s">
        <v>1988</v>
      </c>
      <c r="F491" s="3"/>
    </row>
    <row r="492" spans="2:6" ht="12.75">
      <c r="B492" s="9">
        <v>333</v>
      </c>
      <c r="C492" s="2">
        <f t="shared" si="56"/>
        <v>11.746229381002284</v>
      </c>
      <c r="D492" s="2">
        <f>C492/16</f>
        <v>0.7341393363126427</v>
      </c>
      <c r="E492" s="4" t="s">
        <v>1989</v>
      </c>
      <c r="F492" s="3"/>
    </row>
    <row r="493" spans="2:6" ht="12.75">
      <c r="B493" s="9">
        <v>425</v>
      </c>
      <c r="C493" s="2">
        <f t="shared" si="56"/>
        <v>14.991433894672584</v>
      </c>
      <c r="D493" s="2">
        <f>C493/16</f>
        <v>0.9369646184170365</v>
      </c>
      <c r="E493" s="4" t="s">
        <v>1990</v>
      </c>
      <c r="F493" s="3"/>
    </row>
    <row r="494" spans="2:6" ht="12.75">
      <c r="B494" s="9">
        <v>2.5</v>
      </c>
      <c r="C494" s="2">
        <f t="shared" si="56"/>
        <v>0.0881849052627799</v>
      </c>
      <c r="D494" s="2"/>
      <c r="E494" s="4" t="s">
        <v>1991</v>
      </c>
      <c r="F494" s="3"/>
    </row>
    <row r="495" spans="2:6" ht="12.75">
      <c r="B495" s="9">
        <v>6</v>
      </c>
      <c r="C495" s="2">
        <f t="shared" si="56"/>
        <v>0.21164377263067177</v>
      </c>
      <c r="D495" s="2"/>
      <c r="E495" s="4" t="s">
        <v>1115</v>
      </c>
      <c r="F495" s="3"/>
    </row>
    <row r="496" spans="2:6" ht="12.75">
      <c r="B496" s="9">
        <v>13</v>
      </c>
      <c r="C496" s="2">
        <f t="shared" si="56"/>
        <v>0.4585615073664555</v>
      </c>
      <c r="D496" s="2"/>
      <c r="E496" s="4" t="s">
        <v>1995</v>
      </c>
      <c r="F496" s="3"/>
    </row>
    <row r="497" spans="2:6" ht="12.75">
      <c r="B497" s="9">
        <v>21</v>
      </c>
      <c r="C497" s="2">
        <f t="shared" si="56"/>
        <v>0.7407532042073511</v>
      </c>
      <c r="D497" s="2"/>
      <c r="E497" s="4" t="s">
        <v>247</v>
      </c>
      <c r="F497" s="3"/>
    </row>
    <row r="498" spans="2:6" ht="12.75">
      <c r="B498" s="9">
        <v>20</v>
      </c>
      <c r="C498" s="2">
        <f t="shared" si="56"/>
        <v>0.7054792421022392</v>
      </c>
      <c r="D498" s="2"/>
      <c r="E498" s="4" t="s">
        <v>85</v>
      </c>
      <c r="F498" s="3"/>
    </row>
    <row r="499" spans="2:6" ht="12.75">
      <c r="B499" s="9">
        <v>29</v>
      </c>
      <c r="C499" s="2">
        <f t="shared" si="56"/>
        <v>1.0229449010482468</v>
      </c>
      <c r="D499" s="2"/>
      <c r="E499" s="4" t="s">
        <v>1174</v>
      </c>
      <c r="F499" s="3"/>
    </row>
    <row r="500" spans="2:8" ht="15">
      <c r="B500" s="31">
        <v>134</v>
      </c>
      <c r="C500" s="2">
        <f>B500/28.349523</f>
        <v>4.726710922085003</v>
      </c>
      <c r="D500" s="2">
        <f>C500/16</f>
        <v>0.2954194326303127</v>
      </c>
      <c r="E500" s="95" t="s">
        <v>1371</v>
      </c>
      <c r="F500" s="12"/>
      <c r="H500" t="s">
        <v>1370</v>
      </c>
    </row>
    <row r="503" spans="2:5" ht="12.75">
      <c r="B503" s="9">
        <v>57</v>
      </c>
      <c r="C503" s="2">
        <f>B503/28.349523</f>
        <v>2.010615839991382</v>
      </c>
      <c r="D503" s="2">
        <f>C503/16</f>
        <v>0.12566348999946136</v>
      </c>
      <c r="E503" s="13" t="s">
        <v>1308</v>
      </c>
    </row>
    <row r="504" spans="2:5" ht="12.75">
      <c r="B504" s="9">
        <v>83</v>
      </c>
      <c r="C504" s="2">
        <f>B504/28.349523</f>
        <v>2.927738854724293</v>
      </c>
      <c r="D504" s="2">
        <f>C504/16</f>
        <v>0.1829836784202683</v>
      </c>
      <c r="E504" s="13" t="s">
        <v>758</v>
      </c>
    </row>
    <row r="505" spans="2:5" ht="12.75">
      <c r="B505" s="9">
        <v>72</v>
      </c>
      <c r="C505" s="2">
        <f>B505/28.349523</f>
        <v>2.539725271568061</v>
      </c>
      <c r="D505" s="2">
        <f>C505/16</f>
        <v>0.15873282947300382</v>
      </c>
      <c r="E505" s="13" t="s">
        <v>759</v>
      </c>
    </row>
    <row r="507" spans="2:6" ht="12.75">
      <c r="B507" s="17">
        <v>19</v>
      </c>
      <c r="C507" s="2">
        <f>B507/28.349523</f>
        <v>0.6702052799971272</v>
      </c>
      <c r="D507" s="2">
        <f>C507/16</f>
        <v>0.04188782999982045</v>
      </c>
      <c r="E507" s="19" t="s">
        <v>2070</v>
      </c>
      <c r="F507" s="3"/>
    </row>
    <row r="508" spans="2:9" ht="12.75">
      <c r="B508" s="17">
        <v>400</v>
      </c>
      <c r="C508" s="2">
        <f>B508/28.349523</f>
        <v>14.109584842044784</v>
      </c>
      <c r="D508" s="2">
        <f>C508/16</f>
        <v>0.881849052627799</v>
      </c>
      <c r="E508" s="37" t="s">
        <v>1739</v>
      </c>
      <c r="F508" s="3"/>
      <c r="I508" t="s">
        <v>1740</v>
      </c>
    </row>
    <row r="509" spans="2:9" ht="12.75">
      <c r="B509" s="17">
        <v>340</v>
      </c>
      <c r="C509" s="2">
        <f>B509/28.349523</f>
        <v>11.993147115738067</v>
      </c>
      <c r="D509" s="2">
        <f>C509/16</f>
        <v>0.7495716947336292</v>
      </c>
      <c r="E509" s="38" t="s">
        <v>1741</v>
      </c>
      <c r="F509" s="3"/>
      <c r="I509" t="s">
        <v>1742</v>
      </c>
    </row>
    <row r="510" spans="2:11" ht="12.75">
      <c r="B510" s="17"/>
      <c r="C510" s="2">
        <v>7</v>
      </c>
      <c r="D510" s="2"/>
      <c r="E510" s="11" t="s">
        <v>2024</v>
      </c>
      <c r="F510" s="3"/>
      <c r="K510" t="s">
        <v>1743</v>
      </c>
    </row>
    <row r="511" spans="2:10" ht="12.75">
      <c r="B511" s="17"/>
      <c r="C511" s="2"/>
      <c r="D511" s="2"/>
      <c r="E511" s="41" t="s">
        <v>2025</v>
      </c>
      <c r="F511" s="3"/>
      <c r="J511" t="s">
        <v>2026</v>
      </c>
    </row>
    <row r="512" ht="12.75">
      <c r="E512" s="40"/>
    </row>
    <row r="513" spans="1:5" ht="12.75">
      <c r="A513" t="s">
        <v>1243</v>
      </c>
      <c r="E513" s="39"/>
    </row>
    <row r="514" spans="1:2" ht="12.75">
      <c r="A514">
        <v>194</v>
      </c>
      <c r="B514" t="s">
        <v>1244</v>
      </c>
    </row>
    <row r="515" spans="1:2" ht="12.75">
      <c r="A515">
        <v>180</v>
      </c>
      <c r="B515" t="s">
        <v>1245</v>
      </c>
    </row>
    <row r="516" spans="1:2" ht="12.75">
      <c r="A516">
        <v>175</v>
      </c>
      <c r="B516" t="s">
        <v>1246</v>
      </c>
    </row>
    <row r="517" spans="1:2" ht="12.75">
      <c r="A517">
        <v>167</v>
      </c>
      <c r="B517" t="s">
        <v>1247</v>
      </c>
    </row>
    <row r="518" ht="12.75">
      <c r="A518" t="s">
        <v>1248</v>
      </c>
    </row>
    <row r="519" ht="12.75">
      <c r="A519" t="s">
        <v>1249</v>
      </c>
    </row>
    <row r="520" spans="1:2" ht="12.75">
      <c r="A520">
        <v>714.5</v>
      </c>
      <c r="B520" t="s">
        <v>1250</v>
      </c>
    </row>
    <row r="522" spans="1:2" ht="12.75">
      <c r="A522">
        <v>14</v>
      </c>
      <c r="B522" t="s">
        <v>1251</v>
      </c>
    </row>
    <row r="523" spans="1:2" ht="12.75">
      <c r="A523">
        <v>57.5</v>
      </c>
      <c r="B523" t="s">
        <v>1252</v>
      </c>
    </row>
    <row r="524" spans="1:2" ht="12.75">
      <c r="A524">
        <v>1688</v>
      </c>
      <c r="B524" t="s">
        <v>1253</v>
      </c>
    </row>
    <row r="525" spans="1:2" ht="12.75">
      <c r="A525">
        <v>696</v>
      </c>
      <c r="B525" t="s">
        <v>1254</v>
      </c>
    </row>
    <row r="526" spans="1:2" ht="12.75">
      <c r="A526">
        <v>392</v>
      </c>
      <c r="B526" t="s">
        <v>1264</v>
      </c>
    </row>
    <row r="527" spans="1:6" ht="12.75">
      <c r="A527">
        <f>A520+A522+A523+A524+A525+A526</f>
        <v>3562</v>
      </c>
      <c r="B527" t="s">
        <v>1598</v>
      </c>
      <c r="C527">
        <f>A527/F1</f>
        <v>125.6458530184088</v>
      </c>
      <c r="D527" t="s">
        <v>1265</v>
      </c>
      <c r="E527">
        <f>C527/16</f>
        <v>7.85286581365055</v>
      </c>
      <c r="F527" t="s">
        <v>1266</v>
      </c>
    </row>
    <row r="529" ht="12.75">
      <c r="A529" t="s">
        <v>498</v>
      </c>
    </row>
    <row r="531" spans="1:2" ht="12.75">
      <c r="A531">
        <v>121</v>
      </c>
      <c r="B531" t="s">
        <v>1267</v>
      </c>
    </row>
    <row r="532" spans="1:2" ht="12.75">
      <c r="A532">
        <v>24</v>
      </c>
      <c r="B532" t="s">
        <v>1252</v>
      </c>
    </row>
    <row r="533" spans="1:2" ht="12.75">
      <c r="A533">
        <v>796</v>
      </c>
      <c r="B533" t="s">
        <v>1597</v>
      </c>
    </row>
    <row r="534" ht="12.75">
      <c r="A534" t="s">
        <v>1268</v>
      </c>
    </row>
    <row r="536" ht="12.75">
      <c r="A536" t="s">
        <v>99</v>
      </c>
    </row>
    <row r="537" spans="1:2" ht="12.75">
      <c r="A537" t="s">
        <v>100</v>
      </c>
      <c r="B537" t="s">
        <v>101</v>
      </c>
    </row>
    <row r="538" ht="12.75">
      <c r="A538" t="s">
        <v>102</v>
      </c>
    </row>
    <row r="539" ht="12.75">
      <c r="A539" t="s">
        <v>103</v>
      </c>
    </row>
    <row r="541" ht="12.75">
      <c r="A541" t="s">
        <v>104</v>
      </c>
    </row>
    <row r="542" ht="12.75">
      <c r="A542" t="s">
        <v>105</v>
      </c>
    </row>
    <row r="543" spans="1:2" ht="12.75">
      <c r="A543">
        <v>211</v>
      </c>
      <c r="B543" t="s">
        <v>106</v>
      </c>
    </row>
    <row r="544" spans="1:2" ht="12.75">
      <c r="A544">
        <v>14</v>
      </c>
      <c r="B544" t="s">
        <v>107</v>
      </c>
    </row>
    <row r="545" spans="1:2" ht="12.75">
      <c r="A545">
        <v>9</v>
      </c>
      <c r="B545" t="s">
        <v>1182</v>
      </c>
    </row>
    <row r="546" spans="1:2" ht="12.75">
      <c r="A546">
        <v>16</v>
      </c>
      <c r="B546" t="s">
        <v>807</v>
      </c>
    </row>
    <row r="547" ht="12.75">
      <c r="A547" t="s">
        <v>1248</v>
      </c>
    </row>
    <row r="548" spans="1:2" ht="12.75">
      <c r="A548">
        <v>240</v>
      </c>
      <c r="B548" t="s">
        <v>808</v>
      </c>
    </row>
    <row r="550" spans="1:2" ht="12.75">
      <c r="A550">
        <v>25</v>
      </c>
      <c r="B550" t="s">
        <v>809</v>
      </c>
    </row>
    <row r="551" spans="1:9" ht="12.75">
      <c r="A551">
        <v>105</v>
      </c>
      <c r="B551" t="s">
        <v>810</v>
      </c>
      <c r="I551" t="s">
        <v>87</v>
      </c>
    </row>
    <row r="552" spans="1:11" ht="12.75">
      <c r="A552">
        <v>187</v>
      </c>
      <c r="B552" t="s">
        <v>811</v>
      </c>
      <c r="I552" t="s">
        <v>79</v>
      </c>
      <c r="J552" t="s">
        <v>1265</v>
      </c>
      <c r="K552" t="s">
        <v>1266</v>
      </c>
    </row>
    <row r="553" spans="1:11" ht="12.75">
      <c r="A553">
        <v>294</v>
      </c>
      <c r="B553" t="s">
        <v>1143</v>
      </c>
      <c r="I553">
        <f>A553+A556+A562</f>
        <v>1907</v>
      </c>
      <c r="J553" s="2">
        <f>I553/28.349523</f>
        <v>67.26744573444851</v>
      </c>
      <c r="K553" s="2">
        <f>J553/16</f>
        <v>4.204215358403032</v>
      </c>
    </row>
    <row r="554" spans="1:2" ht="12.75">
      <c r="A554">
        <v>317</v>
      </c>
      <c r="B554" t="s">
        <v>812</v>
      </c>
    </row>
    <row r="556" spans="1:2" ht="12.75">
      <c r="A556">
        <v>698</v>
      </c>
      <c r="B556" t="s">
        <v>1144</v>
      </c>
    </row>
    <row r="557" spans="1:2" ht="12.75">
      <c r="A557">
        <v>757</v>
      </c>
      <c r="B557" t="s">
        <v>813</v>
      </c>
    </row>
    <row r="558" spans="1:2" ht="12.75">
      <c r="A558">
        <v>40</v>
      </c>
      <c r="B558" t="s">
        <v>814</v>
      </c>
    </row>
    <row r="559" spans="1:2" ht="12.75">
      <c r="A559">
        <v>38</v>
      </c>
      <c r="B559" t="s">
        <v>815</v>
      </c>
    </row>
    <row r="560" spans="1:2" ht="12.75">
      <c r="A560">
        <v>4</v>
      </c>
      <c r="B560" t="s">
        <v>816</v>
      </c>
    </row>
    <row r="561" spans="1:2" ht="12.75">
      <c r="A561">
        <v>679</v>
      </c>
      <c r="B561" t="s">
        <v>817</v>
      </c>
    </row>
    <row r="562" spans="1:2" ht="12.75">
      <c r="A562">
        <v>915</v>
      </c>
      <c r="B562" t="s">
        <v>1597</v>
      </c>
    </row>
    <row r="563" spans="1:2" ht="12.75">
      <c r="A563">
        <v>55</v>
      </c>
      <c r="B563" t="s">
        <v>1252</v>
      </c>
    </row>
    <row r="565" ht="12.75">
      <c r="A565" t="s">
        <v>818</v>
      </c>
    </row>
    <row r="566" ht="12.75">
      <c r="B566" t="s">
        <v>819</v>
      </c>
    </row>
    <row r="567" ht="12.75">
      <c r="B567" t="s">
        <v>1600</v>
      </c>
    </row>
    <row r="568" ht="12.75">
      <c r="A568" t="s">
        <v>1601</v>
      </c>
    </row>
    <row r="569" spans="2:12" ht="12.75">
      <c r="B569" t="s">
        <v>1602</v>
      </c>
      <c r="K569">
        <v>0.946326</v>
      </c>
      <c r="L569" t="s">
        <v>696</v>
      </c>
    </row>
    <row r="570" spans="11:24" ht="12.75" customHeight="1">
      <c r="K570" s="316"/>
      <c r="L570" s="316"/>
      <c r="U570" s="12" t="s">
        <v>878</v>
      </c>
      <c r="V570">
        <v>3458</v>
      </c>
      <c r="W570">
        <f>V570*H1</f>
        <v>11345.14472</v>
      </c>
      <c r="X570" s="7" t="s">
        <v>688</v>
      </c>
    </row>
    <row r="571" spans="4:7" ht="12.75">
      <c r="D571">
        <v>3505</v>
      </c>
      <c r="E571" s="3">
        <f>D571/28.349523</f>
        <v>123.63523717841743</v>
      </c>
      <c r="F571" s="3">
        <f>E571/16</f>
        <v>7.727202323651089</v>
      </c>
      <c r="G571" t="s">
        <v>119</v>
      </c>
    </row>
    <row r="572" spans="4:18" ht="12.75">
      <c r="D572" s="9">
        <v>2183</v>
      </c>
      <c r="E572" s="3">
        <f>D572/28.349523</f>
        <v>77.0030592754594</v>
      </c>
      <c r="F572" s="3">
        <f>E572/16</f>
        <v>4.812691204716213</v>
      </c>
      <c r="G572" t="s">
        <v>118</v>
      </c>
      <c r="J572" s="3"/>
      <c r="R572" s="3"/>
    </row>
    <row r="573" spans="5:7" ht="12.75">
      <c r="E573">
        <v>59.3</v>
      </c>
      <c r="F573" s="3">
        <f>E573/16</f>
        <v>3.70625</v>
      </c>
      <c r="G573" t="s">
        <v>116</v>
      </c>
    </row>
    <row r="574" spans="5:7" s="1" customFormat="1" ht="12.75">
      <c r="E574" s="1">
        <v>54.5</v>
      </c>
      <c r="F574" s="3">
        <f>E574/16</f>
        <v>3.40625</v>
      </c>
      <c r="G574" s="20" t="s">
        <v>113</v>
      </c>
    </row>
    <row r="575" spans="4:8" ht="12.75">
      <c r="D575">
        <v>1016</v>
      </c>
      <c r="E575" s="3">
        <f>D575/28.349523</f>
        <v>35.83834549879375</v>
      </c>
      <c r="F575" s="3">
        <f>E575/16</f>
        <v>2.2398965936746094</v>
      </c>
      <c r="G575" t="s">
        <v>114</v>
      </c>
      <c r="H575" s="3"/>
    </row>
    <row r="576" spans="5:8" ht="12.75">
      <c r="E576" s="3"/>
      <c r="F576" s="3"/>
      <c r="H576" s="3"/>
    </row>
    <row r="577" spans="1:26" ht="12.75">
      <c r="A577" s="6" t="s">
        <v>117</v>
      </c>
      <c r="Z577" s="91" t="s">
        <v>1838</v>
      </c>
    </row>
    <row r="578" ht="12.75">
      <c r="A578" s="6" t="s">
        <v>112</v>
      </c>
    </row>
    <row r="579" ht="12.75">
      <c r="A579" s="21"/>
    </row>
    <row r="580" ht="12.75">
      <c r="G580" t="s">
        <v>139</v>
      </c>
    </row>
    <row r="581" spans="4:7" ht="12.75">
      <c r="D581">
        <v>7</v>
      </c>
      <c r="E581" s="3">
        <f aca="true" t="shared" si="57" ref="E581:E590">D581/28.349523</f>
        <v>0.24691773473578374</v>
      </c>
      <c r="F581" s="3">
        <f aca="true" t="shared" si="58" ref="F581:F590">E581/16</f>
        <v>0.015432358420986484</v>
      </c>
      <c r="G581" t="s">
        <v>809</v>
      </c>
    </row>
    <row r="582" spans="4:7" ht="12.75">
      <c r="D582">
        <v>218</v>
      </c>
      <c r="E582" s="3">
        <f t="shared" si="57"/>
        <v>7.689723738914408</v>
      </c>
      <c r="F582" s="3">
        <f t="shared" si="58"/>
        <v>0.4806077336821505</v>
      </c>
      <c r="G582" t="s">
        <v>140</v>
      </c>
    </row>
    <row r="583" spans="1:7" ht="12.75">
      <c r="A583" s="12"/>
      <c r="D583">
        <v>224</v>
      </c>
      <c r="E583" s="3">
        <f t="shared" si="57"/>
        <v>7.90136751154508</v>
      </c>
      <c r="F583" s="3">
        <f t="shared" si="58"/>
        <v>0.4938354694715675</v>
      </c>
      <c r="G583" t="s">
        <v>141</v>
      </c>
    </row>
    <row r="584" spans="1:7" ht="12.75">
      <c r="A584" s="12"/>
      <c r="D584">
        <v>177</v>
      </c>
      <c r="E584" s="3">
        <f t="shared" si="57"/>
        <v>6.243491292604817</v>
      </c>
      <c r="F584" s="3">
        <f t="shared" si="58"/>
        <v>0.3902182057878011</v>
      </c>
      <c r="G584" t="s">
        <v>142</v>
      </c>
    </row>
    <row r="585" spans="1:7" ht="12.75">
      <c r="A585" s="12"/>
      <c r="D585">
        <v>171</v>
      </c>
      <c r="E585" s="3">
        <f t="shared" si="57"/>
        <v>6.0318475199741455</v>
      </c>
      <c r="F585" s="3">
        <f t="shared" si="58"/>
        <v>0.3769904699983841</v>
      </c>
      <c r="G585" t="s">
        <v>143</v>
      </c>
    </row>
    <row r="586" spans="1:7" ht="12.75">
      <c r="A586" s="12"/>
      <c r="D586">
        <f>D585/10</f>
        <v>17.1</v>
      </c>
      <c r="E586" s="3">
        <f t="shared" si="57"/>
        <v>0.6031847519974146</v>
      </c>
      <c r="F586" s="3">
        <f t="shared" si="58"/>
        <v>0.03769904699983841</v>
      </c>
      <c r="G586" t="s">
        <v>154</v>
      </c>
    </row>
    <row r="587" spans="1:7" ht="12.75">
      <c r="A587" s="12"/>
      <c r="D587">
        <v>13.8</v>
      </c>
      <c r="E587" s="3">
        <f t="shared" si="57"/>
        <v>0.48678067705054506</v>
      </c>
      <c r="F587" s="3">
        <f t="shared" si="58"/>
        <v>0.030423792315659066</v>
      </c>
      <c r="G587" t="s">
        <v>156</v>
      </c>
    </row>
    <row r="588" spans="1:7" ht="12.75">
      <c r="A588" s="12"/>
      <c r="D588">
        <v>145</v>
      </c>
      <c r="E588" s="3">
        <f t="shared" si="57"/>
        <v>5.1147245052412345</v>
      </c>
      <c r="F588" s="3">
        <f t="shared" si="58"/>
        <v>0.31967028157757715</v>
      </c>
      <c r="G588" t="s">
        <v>157</v>
      </c>
    </row>
    <row r="589" spans="1:7" ht="12.75">
      <c r="A589" s="12"/>
      <c r="D589">
        <v>85</v>
      </c>
      <c r="E589" s="3">
        <f t="shared" si="57"/>
        <v>2.9982867789345167</v>
      </c>
      <c r="F589" s="3">
        <f t="shared" si="58"/>
        <v>0.1873929236834073</v>
      </c>
      <c r="G589" t="s">
        <v>1481</v>
      </c>
    </row>
    <row r="590" spans="1:7" ht="12.75">
      <c r="A590" s="12"/>
      <c r="D590">
        <f>D589/8</f>
        <v>10.625</v>
      </c>
      <c r="E590" s="3">
        <f t="shared" si="57"/>
        <v>0.3747858473668146</v>
      </c>
      <c r="F590" s="3">
        <f t="shared" si="58"/>
        <v>0.02342411546042591</v>
      </c>
      <c r="G590" t="s">
        <v>1482</v>
      </c>
    </row>
    <row r="591" ht="12.75">
      <c r="A591" s="26" t="s">
        <v>750</v>
      </c>
    </row>
    <row r="592" ht="12.75">
      <c r="A592" s="24" t="s">
        <v>732</v>
      </c>
    </row>
    <row r="593" ht="12.75">
      <c r="A593" s="24" t="s">
        <v>733</v>
      </c>
    </row>
    <row r="594" ht="12.75">
      <c r="A594" s="24" t="s">
        <v>734</v>
      </c>
    </row>
    <row r="595" ht="12.75">
      <c r="A595" s="25" t="s">
        <v>735</v>
      </c>
    </row>
    <row r="596" ht="12.75">
      <c r="A596" s="25" t="s">
        <v>736</v>
      </c>
    </row>
    <row r="597" ht="12.75">
      <c r="A597" s="25" t="s">
        <v>737</v>
      </c>
    </row>
    <row r="598" ht="12.75">
      <c r="A598" s="25" t="s">
        <v>738</v>
      </c>
    </row>
    <row r="599" ht="12.75">
      <c r="A599" s="25" t="s">
        <v>739</v>
      </c>
    </row>
    <row r="600" ht="12.75">
      <c r="A600" s="25" t="s">
        <v>740</v>
      </c>
    </row>
    <row r="601" ht="12.75">
      <c r="A601" s="25" t="s">
        <v>741</v>
      </c>
    </row>
    <row r="602" ht="12.75">
      <c r="A602" s="25" t="s">
        <v>742</v>
      </c>
    </row>
    <row r="603" ht="12.75">
      <c r="A603" s="25" t="s">
        <v>743</v>
      </c>
    </row>
    <row r="604" ht="12.75">
      <c r="A604" s="25" t="s">
        <v>744</v>
      </c>
    </row>
    <row r="605" ht="12.75">
      <c r="A605" s="25" t="s">
        <v>745</v>
      </c>
    </row>
    <row r="606" ht="12.75">
      <c r="A606" s="25" t="s">
        <v>746</v>
      </c>
    </row>
    <row r="607" ht="12.75">
      <c r="A607" s="25" t="s">
        <v>748</v>
      </c>
    </row>
    <row r="608" ht="12.75">
      <c r="A608" s="25" t="s">
        <v>749</v>
      </c>
    </row>
    <row r="609" ht="12.75">
      <c r="A609" s="23"/>
    </row>
    <row r="610" ht="12.75">
      <c r="A610" t="s">
        <v>751</v>
      </c>
    </row>
    <row r="611" ht="12.75">
      <c r="A611" t="s">
        <v>755</v>
      </c>
    </row>
    <row r="612" ht="12.75">
      <c r="A612" t="s">
        <v>752</v>
      </c>
    </row>
    <row r="614" spans="2:15" ht="15">
      <c r="B614" t="s">
        <v>402</v>
      </c>
      <c r="C614" s="31" t="s">
        <v>1367</v>
      </c>
      <c r="H614" s="31" t="s">
        <v>1366</v>
      </c>
      <c r="J614" s="31" t="s">
        <v>1512</v>
      </c>
      <c r="O614" s="31" t="s">
        <v>1368</v>
      </c>
    </row>
    <row r="615" spans="2:13" ht="15">
      <c r="B615" s="31" t="s">
        <v>1513</v>
      </c>
      <c r="E615" s="31" t="s">
        <v>1514</v>
      </c>
      <c r="F615" s="31" t="s">
        <v>1515</v>
      </c>
      <c r="J615" s="231" t="s">
        <v>401</v>
      </c>
      <c r="M615" s="31" t="s">
        <v>400</v>
      </c>
    </row>
    <row r="617" spans="1:6" ht="15">
      <c r="A617" s="298" t="s">
        <v>1083</v>
      </c>
      <c r="F617" s="12"/>
    </row>
    <row r="618" spans="1:3" ht="15">
      <c r="A618" s="298" t="s">
        <v>1084</v>
      </c>
      <c r="C618" s="2"/>
    </row>
    <row r="619" spans="1:3" ht="15">
      <c r="A619" s="298" t="s">
        <v>1086</v>
      </c>
      <c r="C619" s="2"/>
    </row>
    <row r="620" spans="1:3" ht="15">
      <c r="A620" s="299" t="s">
        <v>1085</v>
      </c>
      <c r="C620" s="2"/>
    </row>
    <row r="621" ht="12.75">
      <c r="C621" s="2"/>
    </row>
    <row r="622" spans="2:3" ht="15">
      <c r="B622" s="31"/>
      <c r="C622" s="2"/>
    </row>
    <row r="623" ht="12.75">
      <c r="C623" s="2"/>
    </row>
    <row r="624" spans="1:3" ht="12.75">
      <c r="A624" s="9"/>
      <c r="B624" s="9"/>
      <c r="C624" s="2"/>
    </row>
    <row r="625" spans="2:3" ht="12.75">
      <c r="B625" s="9"/>
      <c r="C625" s="2"/>
    </row>
    <row r="626" spans="1:3" ht="12.75">
      <c r="A626" s="9"/>
      <c r="B626" s="9"/>
      <c r="C626" s="2"/>
    </row>
    <row r="627" spans="1:3" ht="12.75">
      <c r="A627" s="9"/>
      <c r="B627" s="9"/>
      <c r="C627" s="2"/>
    </row>
    <row r="628" spans="2:3" ht="12.75">
      <c r="B628" s="9"/>
      <c r="C628" s="2"/>
    </row>
    <row r="629" spans="1:3" ht="12.75">
      <c r="A629" s="9"/>
      <c r="B629" s="9"/>
      <c r="C629" s="2"/>
    </row>
    <row r="630" spans="2:3" ht="12.75">
      <c r="B630" s="9"/>
      <c r="C630" s="2"/>
    </row>
    <row r="631" spans="2:3" ht="12.75">
      <c r="B631" s="9"/>
      <c r="C631" s="2"/>
    </row>
    <row r="632" spans="2:3" ht="12.75">
      <c r="B632" s="9"/>
      <c r="C632" s="2"/>
    </row>
    <row r="633" spans="1:3" ht="12.75">
      <c r="A633" s="9"/>
      <c r="B633" s="9"/>
      <c r="C633" s="2"/>
    </row>
    <row r="634" spans="2:3" ht="12.75">
      <c r="B634" s="9"/>
      <c r="C634" s="2"/>
    </row>
    <row r="635" spans="2:3" ht="12.75">
      <c r="B635" s="9"/>
      <c r="C635" s="2"/>
    </row>
    <row r="636" spans="2:3" ht="12.75">
      <c r="B636" s="9"/>
      <c r="C636" s="2"/>
    </row>
    <row r="637" spans="2:3" ht="12.75">
      <c r="B637" s="9"/>
      <c r="C637" s="2"/>
    </row>
    <row r="638" spans="2:3" ht="12.75">
      <c r="B638" s="9"/>
      <c r="C638" s="2"/>
    </row>
    <row r="639" spans="2:3" ht="12.75">
      <c r="B639" s="9"/>
      <c r="C639" s="2"/>
    </row>
    <row r="640" spans="2:3" ht="12.75">
      <c r="B640" s="9"/>
      <c r="C640" s="2"/>
    </row>
    <row r="641" ht="12.75">
      <c r="C641" s="2"/>
    </row>
    <row r="642" spans="2:3" ht="12.75">
      <c r="B642" s="9"/>
      <c r="C642" s="2"/>
    </row>
    <row r="643" spans="2:3" ht="12.75">
      <c r="B643" s="9"/>
      <c r="C643" s="2"/>
    </row>
  </sheetData>
  <mergeCells count="1">
    <mergeCell ref="K570:L570"/>
  </mergeCells>
  <hyperlinks>
    <hyperlink ref="Z577" r:id="rId1" display="http://www.oc.edu/staff/phil.heffington/gearcomparisons.htm"/>
    <hyperlink ref="J615" r:id="rId2" display="http:\\GearShop.com"/>
  </hyperlinks>
  <printOptions/>
  <pageMargins left="0.75" right="0.75" top="1" bottom="1" header="0.5" footer="0.5"/>
  <pageSetup horizontalDpi="300" verticalDpi="300" orientation="portrait" r:id="rId3"/>
</worksheet>
</file>

<file path=xl/worksheets/sheet7.xml><?xml version="1.0" encoding="utf-8"?>
<worksheet xmlns="http://schemas.openxmlformats.org/spreadsheetml/2006/main" xmlns:r="http://schemas.openxmlformats.org/officeDocument/2006/relationships">
  <dimension ref="A1:AH118"/>
  <sheetViews>
    <sheetView workbookViewId="0" topLeftCell="A1">
      <pane ySplit="1" topLeftCell="BM2" activePane="bottomLeft" state="frozen"/>
      <selection pane="topLeft" activeCell="A1" sqref="A1"/>
      <selection pane="bottomLeft" activeCell="A36" sqref="A36"/>
    </sheetView>
  </sheetViews>
  <sheetFormatPr defaultColWidth="9.140625" defaultRowHeight="12.75"/>
  <cols>
    <col min="1" max="1" width="6.00390625" style="0" bestFit="1" customWidth="1"/>
    <col min="2" max="2" width="6.140625" style="0" customWidth="1"/>
    <col min="3" max="3" width="4.57421875" style="0" bestFit="1" customWidth="1"/>
    <col min="4" max="4" width="4.28125" style="0" customWidth="1"/>
    <col min="5" max="5" width="29.7109375" style="0" customWidth="1"/>
    <col min="6" max="6" width="3.8515625" style="0" customWidth="1"/>
    <col min="7" max="7" width="4.7109375" style="0" customWidth="1"/>
    <col min="8" max="8" width="2.8515625" style="0" customWidth="1"/>
    <col min="9" max="9" width="3.7109375" style="0" customWidth="1"/>
    <col min="10" max="10" width="3.00390625" style="0" customWidth="1"/>
    <col min="11" max="11" width="2.8515625" style="0" customWidth="1"/>
    <col min="12" max="12" width="4.140625" style="0" customWidth="1"/>
    <col min="13" max="13" width="2.8515625" style="0" customWidth="1"/>
    <col min="14" max="14" width="2.57421875" style="0" customWidth="1"/>
    <col min="15" max="15" width="3.7109375" style="0" customWidth="1"/>
    <col min="16" max="16" width="3.57421875" style="0" customWidth="1"/>
    <col min="17" max="17" width="3.00390625" style="0" customWidth="1"/>
    <col min="18" max="18" width="3.28125" style="0" customWidth="1"/>
    <col min="19" max="19" width="4.421875" style="0" customWidth="1"/>
    <col min="20" max="20" width="3.00390625" style="0" customWidth="1"/>
    <col min="21" max="21" width="4.7109375" style="0" bestFit="1" customWidth="1"/>
    <col min="22" max="22" width="4.57421875" style="0" customWidth="1"/>
    <col min="23" max="23" width="4.8515625" style="0" customWidth="1"/>
    <col min="24" max="24" width="4.421875" style="0" customWidth="1"/>
    <col min="25" max="25" width="4.00390625" style="0" bestFit="1" customWidth="1"/>
    <col min="26" max="27" width="4.7109375" style="0" customWidth="1"/>
  </cols>
  <sheetData>
    <row r="1" spans="1:29" ht="118.5" customHeight="1">
      <c r="A1" s="109" t="s">
        <v>697</v>
      </c>
      <c r="B1" s="28" t="s">
        <v>1603</v>
      </c>
      <c r="C1" t="s">
        <v>1265</v>
      </c>
      <c r="D1" t="s">
        <v>1604</v>
      </c>
      <c r="E1" s="12" t="s">
        <v>2075</v>
      </c>
      <c r="F1" s="28" t="s">
        <v>1932</v>
      </c>
      <c r="G1" s="1" t="s">
        <v>559</v>
      </c>
      <c r="H1" s="1" t="s">
        <v>585</v>
      </c>
      <c r="I1" s="1" t="s">
        <v>584</v>
      </c>
      <c r="J1" s="1" t="s">
        <v>583</v>
      </c>
      <c r="K1" s="1" t="s">
        <v>582</v>
      </c>
      <c r="L1" s="1" t="s">
        <v>581</v>
      </c>
      <c r="M1" s="1" t="s">
        <v>580</v>
      </c>
      <c r="N1" s="1" t="s">
        <v>579</v>
      </c>
      <c r="O1" s="1" t="s">
        <v>560</v>
      </c>
      <c r="P1" s="1" t="s">
        <v>1798</v>
      </c>
      <c r="Q1" s="1" t="s">
        <v>1797</v>
      </c>
      <c r="R1" s="1" t="s">
        <v>1785</v>
      </c>
      <c r="S1" s="1" t="s">
        <v>1820</v>
      </c>
      <c r="T1" s="1" t="s">
        <v>563</v>
      </c>
      <c r="U1" s="1" t="s">
        <v>572</v>
      </c>
      <c r="V1" s="1" t="s">
        <v>571</v>
      </c>
      <c r="W1" s="1" t="s">
        <v>575</v>
      </c>
      <c r="X1" s="1" t="s">
        <v>576</v>
      </c>
      <c r="Y1" s="1" t="s">
        <v>577</v>
      </c>
      <c r="Z1" s="1" t="s">
        <v>578</v>
      </c>
      <c r="AA1" s="1" t="s">
        <v>553</v>
      </c>
      <c r="AB1" s="1"/>
      <c r="AC1" s="1"/>
    </row>
    <row r="2" spans="1:29" ht="12.75">
      <c r="A2" s="9">
        <f>G2*U2</f>
        <v>1706.0714285714287</v>
      </c>
      <c r="B2">
        <f>97+92+92</f>
        <v>281</v>
      </c>
      <c r="C2" s="2">
        <f>B2/28.349523</f>
        <v>9.911983351536461</v>
      </c>
      <c r="D2" s="2">
        <f>C2/16</f>
        <v>0.6194989594710288</v>
      </c>
      <c r="E2" s="11" t="s">
        <v>1845</v>
      </c>
      <c r="F2" s="9">
        <v>28</v>
      </c>
      <c r="G2">
        <v>170</v>
      </c>
      <c r="H2">
        <v>13</v>
      </c>
      <c r="I2" s="2">
        <v>3</v>
      </c>
      <c r="J2">
        <v>0</v>
      </c>
      <c r="K2">
        <v>9</v>
      </c>
      <c r="L2">
        <v>2</v>
      </c>
      <c r="M2">
        <v>5</v>
      </c>
      <c r="N2">
        <v>1</v>
      </c>
      <c r="O2" s="32">
        <f>G2/F2</f>
        <v>6.071428571428571</v>
      </c>
      <c r="P2" s="9">
        <f>100*4*M2/G2</f>
        <v>11.764705882352942</v>
      </c>
      <c r="Q2" s="9">
        <f>100*9*H2/G2</f>
        <v>68.82352941176471</v>
      </c>
      <c r="R2" s="29">
        <f>100*(I2*9)/G2</f>
        <v>15.882352941176471</v>
      </c>
      <c r="S2" s="16">
        <f aca="true" t="shared" si="0" ref="S2:S11">100*K2*4/G2</f>
        <v>21.176470588235293</v>
      </c>
      <c r="T2" s="9">
        <f>100*N2/F2</f>
        <v>3.5714285714285716</v>
      </c>
      <c r="U2" s="44">
        <f>B2/F2</f>
        <v>10.035714285714286</v>
      </c>
      <c r="V2" s="9">
        <f>U2*M2</f>
        <v>50.17857142857143</v>
      </c>
      <c r="W2" s="9">
        <f>U2*H2</f>
        <v>130.46428571428572</v>
      </c>
      <c r="X2" s="9">
        <f>U2*K2</f>
        <v>90.32142857142858</v>
      </c>
      <c r="Y2" s="9">
        <f>N2*U2</f>
        <v>10.035714285714286</v>
      </c>
      <c r="Z2">
        <f>U2*J2</f>
        <v>0</v>
      </c>
      <c r="AA2" s="2">
        <f>I2*U2</f>
        <v>30.10714285714286</v>
      </c>
      <c r="AB2" s="9" t="s">
        <v>528</v>
      </c>
      <c r="AC2" s="9"/>
    </row>
    <row r="3" spans="1:34" ht="12.75">
      <c r="A3" s="9">
        <f>G3*U3</f>
        <v>993.75</v>
      </c>
      <c r="B3">
        <f>104+84+77</f>
        <v>265</v>
      </c>
      <c r="C3" s="2">
        <f>B3/28.349523</f>
        <v>9.34759995785467</v>
      </c>
      <c r="D3" s="2">
        <f>C3/16</f>
        <v>0.5842249973659168</v>
      </c>
      <c r="E3" s="11" t="s">
        <v>395</v>
      </c>
      <c r="F3" s="9">
        <v>16</v>
      </c>
      <c r="G3">
        <v>60</v>
      </c>
      <c r="H3">
        <v>0</v>
      </c>
      <c r="I3" s="10">
        <v>0</v>
      </c>
      <c r="J3" s="6">
        <v>0</v>
      </c>
      <c r="K3" s="6">
        <v>15.9</v>
      </c>
      <c r="L3" s="6">
        <v>15</v>
      </c>
      <c r="M3" s="6">
        <v>0</v>
      </c>
      <c r="N3" s="6">
        <v>0</v>
      </c>
      <c r="O3" s="2">
        <f>G3/F3</f>
        <v>3.75</v>
      </c>
      <c r="P3" s="42">
        <f>100*4*M3/G3</f>
        <v>0</v>
      </c>
      <c r="Q3" s="9">
        <f>100*9*H3/G3</f>
        <v>0</v>
      </c>
      <c r="R3" s="42">
        <f>100*(I3*9)/G3</f>
        <v>0</v>
      </c>
      <c r="S3" s="29">
        <f t="shared" si="0"/>
        <v>106</v>
      </c>
      <c r="T3" s="42">
        <f>100*N3/F3</f>
        <v>0</v>
      </c>
      <c r="U3" s="44">
        <f>B3/F3</f>
        <v>16.5625</v>
      </c>
      <c r="V3" s="16">
        <f>U3*M3</f>
        <v>0</v>
      </c>
      <c r="W3" s="9">
        <f>U3*H3</f>
        <v>0</v>
      </c>
      <c r="X3" s="141">
        <f>U3*K3</f>
        <v>263.34375</v>
      </c>
      <c r="Y3" s="9">
        <f>N3*U3</f>
        <v>0</v>
      </c>
      <c r="Z3">
        <f>U3*J3</f>
        <v>0</v>
      </c>
      <c r="AA3" s="2">
        <f>I3*U3</f>
        <v>0</v>
      </c>
      <c r="AB3" s="9">
        <v>8</v>
      </c>
      <c r="AC3" s="9" t="s">
        <v>333</v>
      </c>
      <c r="AE3">
        <f>U3*AB3</f>
        <v>132.5</v>
      </c>
      <c r="AF3" t="s">
        <v>1265</v>
      </c>
      <c r="AG3">
        <f>AE3*0.02957353</f>
        <v>3.918492725</v>
      </c>
      <c r="AH3" t="s">
        <v>336</v>
      </c>
    </row>
    <row r="4" spans="1:29" ht="12.75">
      <c r="A4" s="9">
        <f aca="true" t="shared" si="1" ref="A4:A11">G4*U4</f>
        <v>630</v>
      </c>
      <c r="B4">
        <v>150</v>
      </c>
      <c r="C4" s="2">
        <f aca="true" t="shared" si="2" ref="C4:C11">B4/28.349523</f>
        <v>5.291094315766794</v>
      </c>
      <c r="D4" s="2">
        <f aca="true" t="shared" si="3" ref="D4:D11">C4/16</f>
        <v>0.33069339473542464</v>
      </c>
      <c r="E4" s="11" t="s">
        <v>1321</v>
      </c>
      <c r="F4" s="9">
        <v>50</v>
      </c>
      <c r="G4">
        <v>210</v>
      </c>
      <c r="H4">
        <v>7</v>
      </c>
      <c r="I4" s="10">
        <v>4.5</v>
      </c>
      <c r="J4">
        <v>2.5</v>
      </c>
      <c r="K4">
        <v>21</v>
      </c>
      <c r="L4">
        <v>14</v>
      </c>
      <c r="M4">
        <v>15</v>
      </c>
      <c r="N4">
        <v>1</v>
      </c>
      <c r="O4" s="2">
        <f aca="true" t="shared" si="4" ref="O4:O11">G4/F4</f>
        <v>4.2</v>
      </c>
      <c r="P4" s="16">
        <f aca="true" t="shared" si="5" ref="P4:P11">100*4*M4/G4</f>
        <v>28.571428571428573</v>
      </c>
      <c r="Q4" s="9">
        <f aca="true" t="shared" si="6" ref="Q4:Q11">100*9*H4/G4</f>
        <v>30</v>
      </c>
      <c r="R4" s="29">
        <f aca="true" t="shared" si="7" ref="R4:R11">100*(I4*9)/G4</f>
        <v>19.285714285714285</v>
      </c>
      <c r="S4" s="16">
        <f t="shared" si="0"/>
        <v>40</v>
      </c>
      <c r="T4" s="9">
        <f aca="true" t="shared" si="8" ref="T4:T11">100*N4/F4</f>
        <v>2</v>
      </c>
      <c r="U4" s="44">
        <f aca="true" t="shared" si="9" ref="U4:U11">B4/F4</f>
        <v>3</v>
      </c>
      <c r="V4" s="16">
        <f aca="true" t="shared" si="10" ref="V4:V11">U4*M4</f>
        <v>45</v>
      </c>
      <c r="W4" s="9">
        <f aca="true" t="shared" si="11" ref="W4:W11">U4*H4</f>
        <v>21</v>
      </c>
      <c r="X4" s="9">
        <f aca="true" t="shared" si="12" ref="X4:X11">U4*K4</f>
        <v>63</v>
      </c>
      <c r="Y4" s="16">
        <f aca="true" t="shared" si="13" ref="Y4:Y11">N4*U4</f>
        <v>3</v>
      </c>
      <c r="Z4">
        <f aca="true" t="shared" si="14" ref="Z4:Z11">U4*J4</f>
        <v>7.5</v>
      </c>
      <c r="AA4" s="2">
        <f aca="true" t="shared" si="15" ref="AA4:AA11">I4*U4</f>
        <v>13.5</v>
      </c>
      <c r="AB4" s="11" t="s">
        <v>532</v>
      </c>
      <c r="AC4" s="9"/>
    </row>
    <row r="5" spans="1:29" ht="12.75">
      <c r="A5" s="9">
        <f t="shared" si="1"/>
        <v>420</v>
      </c>
      <c r="B5">
        <f>3*35</f>
        <v>105</v>
      </c>
      <c r="C5" s="2">
        <f t="shared" si="2"/>
        <v>3.703766021036756</v>
      </c>
      <c r="D5" s="2">
        <f t="shared" si="3"/>
        <v>0.23148537631479724</v>
      </c>
      <c r="E5" s="11" t="s">
        <v>2050</v>
      </c>
      <c r="F5" s="9">
        <v>35</v>
      </c>
      <c r="G5">
        <v>140</v>
      </c>
      <c r="H5">
        <v>4</v>
      </c>
      <c r="I5" s="10">
        <v>0.5</v>
      </c>
      <c r="J5" s="6">
        <v>0</v>
      </c>
      <c r="K5" s="6">
        <v>25</v>
      </c>
      <c r="L5" s="6">
        <v>13</v>
      </c>
      <c r="M5" s="6">
        <v>3</v>
      </c>
      <c r="N5" s="6">
        <v>1</v>
      </c>
      <c r="O5" s="2">
        <f t="shared" si="4"/>
        <v>4</v>
      </c>
      <c r="P5" s="16">
        <f t="shared" si="5"/>
        <v>8.571428571428571</v>
      </c>
      <c r="Q5" s="9">
        <f t="shared" si="6"/>
        <v>25.714285714285715</v>
      </c>
      <c r="R5" s="16">
        <f t="shared" si="7"/>
        <v>3.2142857142857144</v>
      </c>
      <c r="S5" s="16">
        <f t="shared" si="0"/>
        <v>71.42857142857143</v>
      </c>
      <c r="T5" s="9">
        <f t="shared" si="8"/>
        <v>2.857142857142857</v>
      </c>
      <c r="U5" s="44">
        <f t="shared" si="9"/>
        <v>3</v>
      </c>
      <c r="V5" s="16">
        <f t="shared" si="10"/>
        <v>9</v>
      </c>
      <c r="W5" s="9">
        <f t="shared" si="11"/>
        <v>12</v>
      </c>
      <c r="X5" s="9">
        <f t="shared" si="12"/>
        <v>75</v>
      </c>
      <c r="Y5" s="9">
        <f t="shared" si="13"/>
        <v>3</v>
      </c>
      <c r="Z5">
        <f t="shared" si="14"/>
        <v>0</v>
      </c>
      <c r="AA5" s="2">
        <f t="shared" si="15"/>
        <v>1.5</v>
      </c>
      <c r="AB5" s="9" t="s">
        <v>1823</v>
      </c>
      <c r="AC5" s="9"/>
    </row>
    <row r="6" spans="1:29" ht="12.75">
      <c r="A6" s="9">
        <f t="shared" si="1"/>
        <v>630</v>
      </c>
      <c r="B6" s="6">
        <f>200-50</f>
        <v>150</v>
      </c>
      <c r="C6" s="2">
        <f t="shared" si="2"/>
        <v>5.291094315766794</v>
      </c>
      <c r="D6" s="2">
        <f t="shared" si="3"/>
        <v>0.33069339473542464</v>
      </c>
      <c r="E6" s="11" t="s">
        <v>517</v>
      </c>
      <c r="F6" s="9">
        <v>50</v>
      </c>
      <c r="G6">
        <v>210</v>
      </c>
      <c r="H6">
        <v>7</v>
      </c>
      <c r="I6" s="10">
        <v>2.5</v>
      </c>
      <c r="J6" s="6">
        <v>0</v>
      </c>
      <c r="K6" s="6">
        <v>23</v>
      </c>
      <c r="L6" s="6">
        <v>16</v>
      </c>
      <c r="M6" s="6">
        <v>15</v>
      </c>
      <c r="N6" s="6">
        <v>2</v>
      </c>
      <c r="O6" s="2">
        <f t="shared" si="4"/>
        <v>4.2</v>
      </c>
      <c r="P6" s="16">
        <f t="shared" si="5"/>
        <v>28.571428571428573</v>
      </c>
      <c r="Q6" s="9">
        <f t="shared" si="6"/>
        <v>30</v>
      </c>
      <c r="R6" s="16">
        <f t="shared" si="7"/>
        <v>10.714285714285714</v>
      </c>
      <c r="S6" s="16">
        <f t="shared" si="0"/>
        <v>43.80952380952381</v>
      </c>
      <c r="T6" s="42">
        <f t="shared" si="8"/>
        <v>4</v>
      </c>
      <c r="U6" s="44">
        <f t="shared" si="9"/>
        <v>3</v>
      </c>
      <c r="V6" s="9">
        <f t="shared" si="10"/>
        <v>45</v>
      </c>
      <c r="W6" s="9">
        <f t="shared" si="11"/>
        <v>21</v>
      </c>
      <c r="X6" s="9">
        <f t="shared" si="12"/>
        <v>69</v>
      </c>
      <c r="Y6" s="9">
        <f t="shared" si="13"/>
        <v>6</v>
      </c>
      <c r="Z6">
        <f t="shared" si="14"/>
        <v>0</v>
      </c>
      <c r="AA6" s="2">
        <f t="shared" si="15"/>
        <v>7.5</v>
      </c>
      <c r="AB6" s="9" t="s">
        <v>1468</v>
      </c>
      <c r="AC6" s="9"/>
    </row>
    <row r="7" spans="1:29" ht="12.75">
      <c r="A7" s="9">
        <f t="shared" si="1"/>
        <v>1530</v>
      </c>
      <c r="B7">
        <v>270</v>
      </c>
      <c r="C7" s="2">
        <f t="shared" si="2"/>
        <v>9.52396976838023</v>
      </c>
      <c r="D7" s="2">
        <f t="shared" si="3"/>
        <v>0.5952481105237644</v>
      </c>
      <c r="E7" s="11" t="s">
        <v>604</v>
      </c>
      <c r="F7" s="9">
        <v>30</v>
      </c>
      <c r="G7">
        <v>170</v>
      </c>
      <c r="H7">
        <v>15</v>
      </c>
      <c r="I7" s="10">
        <v>1</v>
      </c>
      <c r="J7">
        <v>0</v>
      </c>
      <c r="K7">
        <v>5</v>
      </c>
      <c r="L7">
        <v>1</v>
      </c>
      <c r="M7">
        <v>7</v>
      </c>
      <c r="N7">
        <v>4</v>
      </c>
      <c r="O7" s="2">
        <f t="shared" si="4"/>
        <v>5.666666666666667</v>
      </c>
      <c r="P7" s="9">
        <f t="shared" si="5"/>
        <v>16.470588235294116</v>
      </c>
      <c r="Q7" s="29">
        <f t="shared" si="6"/>
        <v>79.41176470588235</v>
      </c>
      <c r="R7" s="42">
        <f t="shared" si="7"/>
        <v>5.294117647058823</v>
      </c>
      <c r="S7" s="16">
        <f t="shared" si="0"/>
        <v>11.764705882352942</v>
      </c>
      <c r="T7" s="29">
        <f t="shared" si="8"/>
        <v>13.333333333333334</v>
      </c>
      <c r="U7" s="44">
        <f t="shared" si="9"/>
        <v>9</v>
      </c>
      <c r="V7" s="9">
        <f t="shared" si="10"/>
        <v>63</v>
      </c>
      <c r="W7" s="9">
        <f t="shared" si="11"/>
        <v>135</v>
      </c>
      <c r="X7" s="9">
        <f t="shared" si="12"/>
        <v>45</v>
      </c>
      <c r="Y7" s="9">
        <f t="shared" si="13"/>
        <v>36</v>
      </c>
      <c r="Z7">
        <f t="shared" si="14"/>
        <v>0</v>
      </c>
      <c r="AA7" s="2">
        <f t="shared" si="15"/>
        <v>9</v>
      </c>
      <c r="AB7" s="9" t="s">
        <v>527</v>
      </c>
      <c r="AC7" s="9"/>
    </row>
    <row r="8" spans="1:29" ht="12.75">
      <c r="A8" s="9">
        <f t="shared" si="1"/>
        <v>414.6428571428571</v>
      </c>
      <c r="B8">
        <v>129</v>
      </c>
      <c r="C8" s="2">
        <f t="shared" si="2"/>
        <v>4.550341111559443</v>
      </c>
      <c r="D8" s="2">
        <f t="shared" si="3"/>
        <v>0.2843963194724652</v>
      </c>
      <c r="E8" s="11" t="s">
        <v>357</v>
      </c>
      <c r="F8" s="9">
        <v>28</v>
      </c>
      <c r="G8">
        <v>90</v>
      </c>
      <c r="H8">
        <v>1.5</v>
      </c>
      <c r="I8" s="10">
        <v>0.5</v>
      </c>
      <c r="J8">
        <v>30</v>
      </c>
      <c r="K8">
        <v>8</v>
      </c>
      <c r="L8">
        <v>7</v>
      </c>
      <c r="M8">
        <v>11</v>
      </c>
      <c r="N8">
        <v>0</v>
      </c>
      <c r="O8" s="2">
        <f t="shared" si="4"/>
        <v>3.2142857142857144</v>
      </c>
      <c r="P8" s="29">
        <f t="shared" si="5"/>
        <v>48.888888888888886</v>
      </c>
      <c r="Q8" s="9">
        <f t="shared" si="6"/>
        <v>15</v>
      </c>
      <c r="R8" s="29">
        <f t="shared" si="7"/>
        <v>5</v>
      </c>
      <c r="S8" s="16">
        <f t="shared" si="0"/>
        <v>35.55555555555556</v>
      </c>
      <c r="T8" s="42">
        <f t="shared" si="8"/>
        <v>0</v>
      </c>
      <c r="U8" s="44">
        <f t="shared" si="9"/>
        <v>4.607142857142857</v>
      </c>
      <c r="V8" s="9">
        <f t="shared" si="10"/>
        <v>50.67857142857142</v>
      </c>
      <c r="W8" s="9">
        <f t="shared" si="11"/>
        <v>6.910714285714285</v>
      </c>
      <c r="X8" s="9">
        <f t="shared" si="12"/>
        <v>36.857142857142854</v>
      </c>
      <c r="Y8" s="9">
        <f t="shared" si="13"/>
        <v>0</v>
      </c>
      <c r="Z8">
        <f t="shared" si="14"/>
        <v>138.2142857142857</v>
      </c>
      <c r="AA8" s="2">
        <f t="shared" si="15"/>
        <v>2.3035714285714284</v>
      </c>
      <c r="AB8" s="9"/>
      <c r="AC8" s="9"/>
    </row>
    <row r="9" spans="1:29" ht="12.75">
      <c r="A9" s="9">
        <f t="shared" si="1"/>
        <v>630</v>
      </c>
      <c r="B9">
        <v>154</v>
      </c>
      <c r="C9" s="2">
        <f t="shared" si="2"/>
        <v>5.432190164187242</v>
      </c>
      <c r="D9" s="2">
        <f t="shared" si="3"/>
        <v>0.3395118852617026</v>
      </c>
      <c r="E9" s="11" t="s">
        <v>253</v>
      </c>
      <c r="F9" s="9">
        <v>22</v>
      </c>
      <c r="G9">
        <v>90</v>
      </c>
      <c r="H9">
        <v>2</v>
      </c>
      <c r="I9" s="10">
        <v>0.5</v>
      </c>
      <c r="J9">
        <v>0</v>
      </c>
      <c r="K9">
        <v>18</v>
      </c>
      <c r="L9">
        <v>8</v>
      </c>
      <c r="M9">
        <v>1</v>
      </c>
      <c r="N9">
        <v>0</v>
      </c>
      <c r="O9" s="2">
        <f t="shared" si="4"/>
        <v>4.090909090909091</v>
      </c>
      <c r="P9" s="42">
        <f t="shared" si="5"/>
        <v>4.444444444444445</v>
      </c>
      <c r="Q9" s="9">
        <f t="shared" si="6"/>
        <v>20</v>
      </c>
      <c r="R9" s="29">
        <f t="shared" si="7"/>
        <v>5</v>
      </c>
      <c r="S9" s="29">
        <f t="shared" si="0"/>
        <v>80</v>
      </c>
      <c r="T9" s="42">
        <f t="shared" si="8"/>
        <v>0</v>
      </c>
      <c r="U9" s="44">
        <f t="shared" si="9"/>
        <v>7</v>
      </c>
      <c r="V9" s="9">
        <f t="shared" si="10"/>
        <v>7</v>
      </c>
      <c r="W9" s="9">
        <f t="shared" si="11"/>
        <v>14</v>
      </c>
      <c r="X9" s="9">
        <f t="shared" si="12"/>
        <v>126</v>
      </c>
      <c r="Y9" s="9">
        <f t="shared" si="13"/>
        <v>0</v>
      </c>
      <c r="Z9">
        <f t="shared" si="14"/>
        <v>0</v>
      </c>
      <c r="AA9" s="2">
        <f t="shared" si="15"/>
        <v>3.5</v>
      </c>
      <c r="AB9" s="9" t="s">
        <v>1591</v>
      </c>
      <c r="AC9" s="9"/>
    </row>
    <row r="10" spans="1:29" ht="12.75">
      <c r="A10" s="9">
        <f t="shared" si="1"/>
        <v>1704</v>
      </c>
      <c r="B10">
        <f>100+90+94</f>
        <v>284</v>
      </c>
      <c r="C10" s="2">
        <f t="shared" si="2"/>
        <v>10.017805237851796</v>
      </c>
      <c r="D10" s="2">
        <f t="shared" si="3"/>
        <v>0.6261128273657373</v>
      </c>
      <c r="E10" s="11" t="s">
        <v>564</v>
      </c>
      <c r="F10" s="9">
        <v>30</v>
      </c>
      <c r="G10">
        <v>180</v>
      </c>
      <c r="H10">
        <v>13</v>
      </c>
      <c r="I10" s="10">
        <v>1.5</v>
      </c>
      <c r="J10">
        <v>0</v>
      </c>
      <c r="K10">
        <v>9</v>
      </c>
      <c r="L10">
        <v>2</v>
      </c>
      <c r="M10">
        <v>6</v>
      </c>
      <c r="N10">
        <v>3</v>
      </c>
      <c r="O10" s="32">
        <f t="shared" si="4"/>
        <v>6</v>
      </c>
      <c r="P10" s="9">
        <f t="shared" si="5"/>
        <v>13.333333333333334</v>
      </c>
      <c r="Q10" s="16">
        <f t="shared" si="6"/>
        <v>65</v>
      </c>
      <c r="R10" s="16">
        <f t="shared" si="7"/>
        <v>7.5</v>
      </c>
      <c r="S10" s="16">
        <f t="shared" si="0"/>
        <v>20</v>
      </c>
      <c r="T10" s="29">
        <f t="shared" si="8"/>
        <v>10</v>
      </c>
      <c r="U10" s="44">
        <f t="shared" si="9"/>
        <v>9.466666666666667</v>
      </c>
      <c r="V10" s="9">
        <f t="shared" si="10"/>
        <v>56.8</v>
      </c>
      <c r="W10" s="9">
        <f t="shared" si="11"/>
        <v>123.06666666666666</v>
      </c>
      <c r="X10" s="9">
        <f t="shared" si="12"/>
        <v>85.2</v>
      </c>
      <c r="Y10" s="9">
        <f t="shared" si="13"/>
        <v>28.4</v>
      </c>
      <c r="Z10" s="9">
        <f t="shared" si="14"/>
        <v>0</v>
      </c>
      <c r="AA10" s="2">
        <f t="shared" si="15"/>
        <v>14.2</v>
      </c>
      <c r="AB10" s="9" t="s">
        <v>570</v>
      </c>
      <c r="AC10" s="9"/>
    </row>
    <row r="11" spans="1:29" ht="12.75">
      <c r="A11" s="9">
        <f t="shared" si="1"/>
        <v>1002.4390243902438</v>
      </c>
      <c r="B11" s="9">
        <f>87+95+92</f>
        <v>274</v>
      </c>
      <c r="C11" s="2">
        <f t="shared" si="2"/>
        <v>9.665065616800677</v>
      </c>
      <c r="D11" s="2">
        <f t="shared" si="3"/>
        <v>0.6040666010500423</v>
      </c>
      <c r="E11" s="11" t="s">
        <v>1274</v>
      </c>
      <c r="F11" s="9">
        <v>41</v>
      </c>
      <c r="G11">
        <v>150</v>
      </c>
      <c r="H11">
        <v>0</v>
      </c>
      <c r="I11" s="10">
        <v>0</v>
      </c>
      <c r="J11" s="6">
        <v>0</v>
      </c>
      <c r="K11" s="6">
        <v>37</v>
      </c>
      <c r="L11" s="6">
        <v>34</v>
      </c>
      <c r="M11" s="6">
        <v>0</v>
      </c>
      <c r="N11" s="6">
        <v>0</v>
      </c>
      <c r="O11" s="2">
        <f t="shared" si="4"/>
        <v>3.658536585365854</v>
      </c>
      <c r="P11" s="42">
        <f t="shared" si="5"/>
        <v>0</v>
      </c>
      <c r="Q11" s="9">
        <f t="shared" si="6"/>
        <v>0</v>
      </c>
      <c r="R11" s="29">
        <f t="shared" si="7"/>
        <v>0</v>
      </c>
      <c r="S11" s="29">
        <f t="shared" si="0"/>
        <v>98.66666666666667</v>
      </c>
      <c r="T11" s="42">
        <f t="shared" si="8"/>
        <v>0</v>
      </c>
      <c r="U11" s="44">
        <f t="shared" si="9"/>
        <v>6.682926829268292</v>
      </c>
      <c r="V11" s="16">
        <f t="shared" si="10"/>
        <v>0</v>
      </c>
      <c r="W11" s="9">
        <f t="shared" si="11"/>
        <v>0</v>
      </c>
      <c r="X11" s="9">
        <f t="shared" si="12"/>
        <v>247.2682926829268</v>
      </c>
      <c r="Y11" s="9">
        <f t="shared" si="13"/>
        <v>0</v>
      </c>
      <c r="Z11">
        <f t="shared" si="14"/>
        <v>0</v>
      </c>
      <c r="AA11" s="2">
        <f t="shared" si="15"/>
        <v>0</v>
      </c>
      <c r="AB11" s="9" t="s">
        <v>2062</v>
      </c>
      <c r="AC11" s="9"/>
    </row>
    <row r="12" spans="1:29" ht="12.75">
      <c r="A12" s="9">
        <f aca="true" t="shared" si="16" ref="A12:A17">G12*U12</f>
        <v>603.2941176470588</v>
      </c>
      <c r="B12">
        <v>160</v>
      </c>
      <c r="C12" s="2">
        <f aca="true" t="shared" si="17" ref="C12:C17">B12/28.349523</f>
        <v>5.643833936817914</v>
      </c>
      <c r="D12" s="2">
        <f aca="true" t="shared" si="18" ref="D12:D17">C12/16</f>
        <v>0.3527396210511196</v>
      </c>
      <c r="E12" s="11" t="s">
        <v>871</v>
      </c>
      <c r="F12" s="9">
        <v>17</v>
      </c>
      <c r="G12">
        <v>64.1</v>
      </c>
      <c r="H12">
        <v>0</v>
      </c>
      <c r="I12" s="10">
        <v>0</v>
      </c>
      <c r="J12" s="6">
        <v>0</v>
      </c>
      <c r="K12" s="6">
        <v>15.9</v>
      </c>
      <c r="L12" s="6">
        <v>16</v>
      </c>
      <c r="M12" s="6">
        <v>0</v>
      </c>
      <c r="N12" s="6">
        <v>0</v>
      </c>
      <c r="O12" s="2">
        <f aca="true" t="shared" si="19" ref="O12:O17">G12/F12</f>
        <v>3.770588235294117</v>
      </c>
      <c r="P12" s="42">
        <f aca="true" t="shared" si="20" ref="P12:P17">100*4*M12/G12</f>
        <v>0</v>
      </c>
      <c r="Q12" s="9">
        <f aca="true" t="shared" si="21" ref="Q12:Q17">100*9*H12/G12</f>
        <v>0</v>
      </c>
      <c r="R12" s="29">
        <f aca="true" t="shared" si="22" ref="R12:R17">100*(I12*9)/G12</f>
        <v>0</v>
      </c>
      <c r="S12" s="29">
        <f aca="true" t="shared" si="23" ref="S12:S17">100*K12*4/G12</f>
        <v>99.21996879875196</v>
      </c>
      <c r="T12" s="42">
        <f aca="true" t="shared" si="24" ref="T12:T17">100*N12/F12</f>
        <v>0</v>
      </c>
      <c r="U12" s="44">
        <f aca="true" t="shared" si="25" ref="U12:U17">B12/F12</f>
        <v>9.411764705882353</v>
      </c>
      <c r="V12" s="16">
        <f aca="true" t="shared" si="26" ref="V12:V17">U12*M12</f>
        <v>0</v>
      </c>
      <c r="W12" s="9">
        <f aca="true" t="shared" si="27" ref="W12:W17">U12*H12</f>
        <v>0</v>
      </c>
      <c r="X12" s="9">
        <f aca="true" t="shared" si="28" ref="X12:X17">U12*K12</f>
        <v>149.64705882352942</v>
      </c>
      <c r="Y12" s="9">
        <f aca="true" t="shared" si="29" ref="Y12:Y17">N12*U12</f>
        <v>0</v>
      </c>
      <c r="Z12">
        <f aca="true" t="shared" si="30" ref="Z12:Z17">U12*J12</f>
        <v>0</v>
      </c>
      <c r="AA12" s="2">
        <f aca="true" t="shared" si="31" ref="AA12:AA17">I12*U12</f>
        <v>0</v>
      </c>
      <c r="AB12" s="9" t="s">
        <v>2062</v>
      </c>
      <c r="AC12" s="9"/>
    </row>
    <row r="13" spans="1:29" ht="12.75">
      <c r="A13" s="9">
        <f t="shared" si="16"/>
        <v>330</v>
      </c>
      <c r="B13">
        <f>3*28</f>
        <v>84</v>
      </c>
      <c r="C13" s="2">
        <f t="shared" si="17"/>
        <v>2.9630128168294045</v>
      </c>
      <c r="D13" s="2">
        <f t="shared" si="18"/>
        <v>0.18518830105183778</v>
      </c>
      <c r="E13" s="11" t="s">
        <v>1713</v>
      </c>
      <c r="F13">
        <v>28</v>
      </c>
      <c r="G13">
        <v>110</v>
      </c>
      <c r="H13">
        <v>3</v>
      </c>
      <c r="I13" s="10">
        <v>2.5</v>
      </c>
      <c r="J13">
        <v>0</v>
      </c>
      <c r="K13">
        <v>16</v>
      </c>
      <c r="L13">
        <v>10</v>
      </c>
      <c r="M13">
        <v>5</v>
      </c>
      <c r="N13">
        <v>1</v>
      </c>
      <c r="O13" s="2">
        <f t="shared" si="19"/>
        <v>3.9285714285714284</v>
      </c>
      <c r="P13" s="16">
        <f t="shared" si="20"/>
        <v>18.181818181818183</v>
      </c>
      <c r="Q13" s="9">
        <f t="shared" si="21"/>
        <v>24.545454545454547</v>
      </c>
      <c r="R13" s="42">
        <f t="shared" si="22"/>
        <v>20.454545454545453</v>
      </c>
      <c r="S13" s="16">
        <f t="shared" si="23"/>
        <v>58.18181818181818</v>
      </c>
      <c r="T13" s="16">
        <f t="shared" si="24"/>
        <v>3.5714285714285716</v>
      </c>
      <c r="U13" s="44">
        <f t="shared" si="25"/>
        <v>3</v>
      </c>
      <c r="V13" s="16">
        <f t="shared" si="26"/>
        <v>15</v>
      </c>
      <c r="W13" s="9">
        <f t="shared" si="27"/>
        <v>9</v>
      </c>
      <c r="X13" s="9">
        <f t="shared" si="28"/>
        <v>48</v>
      </c>
      <c r="Y13" s="16">
        <f t="shared" si="29"/>
        <v>3</v>
      </c>
      <c r="Z13">
        <f t="shared" si="30"/>
        <v>0</v>
      </c>
      <c r="AA13" s="2">
        <f t="shared" si="31"/>
        <v>7.5</v>
      </c>
      <c r="AB13" s="233" t="s">
        <v>533</v>
      </c>
      <c r="AC13" s="9"/>
    </row>
    <row r="14" spans="1:29" ht="12.75">
      <c r="A14" s="9">
        <f t="shared" si="16"/>
        <v>600</v>
      </c>
      <c r="B14">
        <f>3*39</f>
        <v>117</v>
      </c>
      <c r="C14" s="2">
        <f t="shared" si="17"/>
        <v>4.127053566298099</v>
      </c>
      <c r="D14" s="2">
        <f t="shared" si="18"/>
        <v>0.2579408478936312</v>
      </c>
      <c r="E14" s="11" t="s">
        <v>1937</v>
      </c>
      <c r="F14" s="9">
        <v>39</v>
      </c>
      <c r="G14">
        <v>200</v>
      </c>
      <c r="H14">
        <v>10</v>
      </c>
      <c r="I14" s="10">
        <v>1.5</v>
      </c>
      <c r="J14">
        <v>0</v>
      </c>
      <c r="K14">
        <v>23</v>
      </c>
      <c r="L14">
        <v>4</v>
      </c>
      <c r="M14">
        <v>4</v>
      </c>
      <c r="N14">
        <v>1</v>
      </c>
      <c r="O14" s="2">
        <f t="shared" si="19"/>
        <v>5.128205128205129</v>
      </c>
      <c r="P14" s="42">
        <f t="shared" si="20"/>
        <v>8</v>
      </c>
      <c r="Q14" s="9">
        <f t="shared" si="21"/>
        <v>45</v>
      </c>
      <c r="R14" s="16">
        <f t="shared" si="22"/>
        <v>6.75</v>
      </c>
      <c r="S14" s="16">
        <f t="shared" si="23"/>
        <v>46</v>
      </c>
      <c r="T14" s="9">
        <f t="shared" si="24"/>
        <v>2.5641025641025643</v>
      </c>
      <c r="U14" s="44">
        <f t="shared" si="25"/>
        <v>3</v>
      </c>
      <c r="V14" s="9">
        <f t="shared" si="26"/>
        <v>12</v>
      </c>
      <c r="W14" s="9">
        <f t="shared" si="27"/>
        <v>30</v>
      </c>
      <c r="X14" s="9">
        <f t="shared" si="28"/>
        <v>69</v>
      </c>
      <c r="Y14" s="9">
        <f t="shared" si="29"/>
        <v>3</v>
      </c>
      <c r="Z14">
        <f t="shared" si="30"/>
        <v>0</v>
      </c>
      <c r="AA14" s="2">
        <f t="shared" si="31"/>
        <v>4.5</v>
      </c>
      <c r="AB14" s="9" t="s">
        <v>1590</v>
      </c>
      <c r="AC14" s="9"/>
    </row>
    <row r="15" spans="1:29" ht="12.75">
      <c r="A15" s="9">
        <f t="shared" si="16"/>
        <v>570</v>
      </c>
      <c r="B15">
        <v>150</v>
      </c>
      <c r="C15" s="2">
        <f t="shared" si="17"/>
        <v>5.291094315766794</v>
      </c>
      <c r="D15" s="2">
        <f t="shared" si="18"/>
        <v>0.33069339473542464</v>
      </c>
      <c r="E15" s="11" t="s">
        <v>44</v>
      </c>
      <c r="F15" s="9">
        <v>50</v>
      </c>
      <c r="G15">
        <v>190</v>
      </c>
      <c r="H15">
        <v>4.5</v>
      </c>
      <c r="I15" s="10">
        <v>3</v>
      </c>
      <c r="J15">
        <v>15</v>
      </c>
      <c r="K15">
        <v>19</v>
      </c>
      <c r="L15">
        <v>2</v>
      </c>
      <c r="M15">
        <v>20</v>
      </c>
      <c r="N15">
        <v>0</v>
      </c>
      <c r="O15" s="2">
        <f t="shared" si="19"/>
        <v>3.8</v>
      </c>
      <c r="P15" s="29">
        <f t="shared" si="20"/>
        <v>42.10526315789474</v>
      </c>
      <c r="Q15" s="9">
        <f t="shared" si="21"/>
        <v>21.31578947368421</v>
      </c>
      <c r="R15" s="16">
        <f t="shared" si="22"/>
        <v>14.210526315789474</v>
      </c>
      <c r="S15" s="16">
        <f t="shared" si="23"/>
        <v>40</v>
      </c>
      <c r="T15" s="42">
        <f t="shared" si="24"/>
        <v>0</v>
      </c>
      <c r="U15" s="44">
        <f t="shared" si="25"/>
        <v>3</v>
      </c>
      <c r="V15" s="9">
        <f t="shared" si="26"/>
        <v>60</v>
      </c>
      <c r="W15" s="9">
        <f t="shared" si="27"/>
        <v>13.5</v>
      </c>
      <c r="X15" s="9">
        <f t="shared" si="28"/>
        <v>57</v>
      </c>
      <c r="Y15" s="9">
        <f t="shared" si="29"/>
        <v>0</v>
      </c>
      <c r="Z15">
        <f t="shared" si="30"/>
        <v>45</v>
      </c>
      <c r="AA15" s="2">
        <f t="shared" si="31"/>
        <v>9</v>
      </c>
      <c r="AB15" s="9" t="s">
        <v>1468</v>
      </c>
      <c r="AC15" s="9"/>
    </row>
    <row r="16" spans="1:29" ht="12.75">
      <c r="A16" s="9">
        <f t="shared" si="16"/>
        <v>400</v>
      </c>
      <c r="B16">
        <v>100</v>
      </c>
      <c r="C16" s="2">
        <f t="shared" si="17"/>
        <v>3.527396210511196</v>
      </c>
      <c r="D16" s="2">
        <f t="shared" si="18"/>
        <v>0.22046226315694975</v>
      </c>
      <c r="E16" s="11" t="s">
        <v>1373</v>
      </c>
      <c r="F16" s="9">
        <v>50</v>
      </c>
      <c r="G16">
        <v>200</v>
      </c>
      <c r="H16">
        <v>6</v>
      </c>
      <c r="I16" s="10">
        <v>5</v>
      </c>
      <c r="J16">
        <v>10</v>
      </c>
      <c r="K16">
        <v>22</v>
      </c>
      <c r="L16">
        <v>15</v>
      </c>
      <c r="M16">
        <v>15</v>
      </c>
      <c r="N16" s="9">
        <v>0</v>
      </c>
      <c r="O16" s="2">
        <f t="shared" si="19"/>
        <v>4</v>
      </c>
      <c r="P16" s="29">
        <f t="shared" si="20"/>
        <v>30</v>
      </c>
      <c r="Q16" s="9">
        <f t="shared" si="21"/>
        <v>27</v>
      </c>
      <c r="R16" s="42">
        <f t="shared" si="22"/>
        <v>22.5</v>
      </c>
      <c r="S16" s="16">
        <f t="shared" si="23"/>
        <v>44</v>
      </c>
      <c r="T16" s="9">
        <f t="shared" si="24"/>
        <v>0</v>
      </c>
      <c r="U16" s="44">
        <f t="shared" si="25"/>
        <v>2</v>
      </c>
      <c r="V16" s="16">
        <f t="shared" si="26"/>
        <v>30</v>
      </c>
      <c r="W16" s="9">
        <f t="shared" si="27"/>
        <v>12</v>
      </c>
      <c r="X16" s="9">
        <f t="shared" si="28"/>
        <v>44</v>
      </c>
      <c r="Y16" s="16">
        <f t="shared" si="29"/>
        <v>0</v>
      </c>
      <c r="Z16">
        <f t="shared" si="30"/>
        <v>20</v>
      </c>
      <c r="AA16" s="2">
        <f t="shared" si="31"/>
        <v>10</v>
      </c>
      <c r="AB16" s="11" t="s">
        <v>532</v>
      </c>
      <c r="AC16" s="9"/>
    </row>
    <row r="17" spans="1:29" ht="12.75">
      <c r="A17" s="9">
        <f t="shared" si="16"/>
        <v>210</v>
      </c>
      <c r="B17">
        <v>50</v>
      </c>
      <c r="C17" s="2">
        <f t="shared" si="17"/>
        <v>1.763698105255598</v>
      </c>
      <c r="D17" s="2">
        <f t="shared" si="18"/>
        <v>0.11023113157847488</v>
      </c>
      <c r="E17" s="11" t="s">
        <v>1372</v>
      </c>
      <c r="F17" s="9">
        <v>50</v>
      </c>
      <c r="G17">
        <v>210</v>
      </c>
      <c r="H17">
        <v>7</v>
      </c>
      <c r="I17" s="10">
        <v>4</v>
      </c>
      <c r="J17">
        <v>2.5</v>
      </c>
      <c r="K17">
        <v>23</v>
      </c>
      <c r="L17">
        <v>15</v>
      </c>
      <c r="M17">
        <v>15</v>
      </c>
      <c r="N17" s="9">
        <v>0.5</v>
      </c>
      <c r="O17" s="2">
        <f t="shared" si="19"/>
        <v>4.2</v>
      </c>
      <c r="P17" s="29">
        <f t="shared" si="20"/>
        <v>28.571428571428573</v>
      </c>
      <c r="Q17" s="9">
        <f t="shared" si="21"/>
        <v>30</v>
      </c>
      <c r="R17" s="42">
        <f t="shared" si="22"/>
        <v>17.142857142857142</v>
      </c>
      <c r="S17" s="16">
        <f t="shared" si="23"/>
        <v>43.80952380952381</v>
      </c>
      <c r="T17" s="9">
        <f t="shared" si="24"/>
        <v>1</v>
      </c>
      <c r="U17" s="44">
        <f t="shared" si="25"/>
        <v>1</v>
      </c>
      <c r="V17" s="16">
        <f t="shared" si="26"/>
        <v>15</v>
      </c>
      <c r="W17" s="9">
        <f t="shared" si="27"/>
        <v>7</v>
      </c>
      <c r="X17" s="9">
        <f t="shared" si="28"/>
        <v>23</v>
      </c>
      <c r="Y17" s="16">
        <f t="shared" si="29"/>
        <v>0.5</v>
      </c>
      <c r="Z17">
        <f t="shared" si="30"/>
        <v>2.5</v>
      </c>
      <c r="AA17" s="2">
        <f t="shared" si="31"/>
        <v>4</v>
      </c>
      <c r="AB17" s="11" t="s">
        <v>532</v>
      </c>
      <c r="AC17" s="9"/>
    </row>
    <row r="18" spans="2:29" ht="12.75" customHeight="1">
      <c r="B18" s="28"/>
      <c r="E18" s="12"/>
      <c r="F18" s="28"/>
      <c r="G18" s="1"/>
      <c r="H18" s="1"/>
      <c r="I18" s="1"/>
      <c r="J18" s="1"/>
      <c r="K18" s="1"/>
      <c r="L18" s="1"/>
      <c r="M18" s="1"/>
      <c r="N18" s="1"/>
      <c r="O18" s="1"/>
      <c r="P18" s="1"/>
      <c r="Q18" s="1"/>
      <c r="R18" s="1"/>
      <c r="S18" s="1"/>
      <c r="T18" s="1"/>
      <c r="U18" s="1"/>
      <c r="V18" s="1"/>
      <c r="W18" s="1"/>
      <c r="X18" s="1"/>
      <c r="Y18" s="1"/>
      <c r="Z18" s="1"/>
      <c r="AA18" s="1"/>
      <c r="AB18" s="1"/>
      <c r="AC18" s="1"/>
    </row>
    <row r="19" spans="2:29" ht="12.75" customHeight="1">
      <c r="B19" s="28"/>
      <c r="E19" s="12"/>
      <c r="F19" s="28"/>
      <c r="G19" s="1"/>
      <c r="H19" s="1"/>
      <c r="I19" s="1"/>
      <c r="J19" s="1"/>
      <c r="K19" s="1"/>
      <c r="L19" s="1"/>
      <c r="M19" s="1"/>
      <c r="N19" s="1"/>
      <c r="O19" s="1"/>
      <c r="P19" s="1"/>
      <c r="Q19" s="1"/>
      <c r="R19" s="1"/>
      <c r="S19" s="1"/>
      <c r="T19" s="1"/>
      <c r="U19" s="1"/>
      <c r="V19" s="1"/>
      <c r="W19" s="1"/>
      <c r="X19" s="1"/>
      <c r="Y19" s="1"/>
      <c r="Z19" s="1"/>
      <c r="AA19" s="1"/>
      <c r="AB19" s="1"/>
      <c r="AC19" s="1"/>
    </row>
    <row r="20" spans="2:29" ht="12.75" customHeight="1">
      <c r="B20" s="28"/>
      <c r="E20" s="12"/>
      <c r="F20" s="28"/>
      <c r="G20" s="1"/>
      <c r="H20" s="1"/>
      <c r="I20" s="1"/>
      <c r="J20" s="1"/>
      <c r="K20" s="1"/>
      <c r="L20" s="1"/>
      <c r="M20" s="1"/>
      <c r="N20" s="1"/>
      <c r="O20" s="1"/>
      <c r="P20" s="1"/>
      <c r="Q20" s="1"/>
      <c r="R20" s="1"/>
      <c r="S20" s="1"/>
      <c r="T20" s="1"/>
      <c r="U20" s="1"/>
      <c r="V20" s="1"/>
      <c r="W20" s="1"/>
      <c r="X20" s="1"/>
      <c r="Y20" s="1"/>
      <c r="Z20" s="1"/>
      <c r="AA20" s="1"/>
      <c r="AB20" s="1"/>
      <c r="AC20" s="1"/>
    </row>
    <row r="21" spans="1:27" ht="12.75">
      <c r="A21" s="9">
        <f>SUM(A2:A20)</f>
        <v>12374.19742775159</v>
      </c>
      <c r="B21" s="9">
        <f>SUM(B2:B20)</f>
        <v>2723</v>
      </c>
      <c r="C21" s="9">
        <f>B21/28.349523</f>
        <v>96.05099881221987</v>
      </c>
      <c r="D21" s="2">
        <f>C21/16</f>
        <v>6.003187425763742</v>
      </c>
      <c r="E21" s="11" t="s">
        <v>1507</v>
      </c>
      <c r="J21" s="3"/>
      <c r="K21" s="3"/>
      <c r="L21" s="3"/>
      <c r="M21" s="9"/>
      <c r="O21" s="3"/>
      <c r="V21" s="144">
        <f aca="true" t="shared" si="32" ref="V21:AA21">SUM(V2:V20)</f>
        <v>458.6571428571429</v>
      </c>
      <c r="W21" s="144">
        <f t="shared" si="32"/>
        <v>534.9416666666666</v>
      </c>
      <c r="X21" s="144">
        <f t="shared" si="32"/>
        <v>1491.637672935028</v>
      </c>
      <c r="Y21" s="9">
        <f t="shared" si="32"/>
        <v>92.93571428571428</v>
      </c>
      <c r="Z21" s="141">
        <f t="shared" si="32"/>
        <v>213.2142857142857</v>
      </c>
      <c r="AA21" s="9">
        <f t="shared" si="32"/>
        <v>116.6107142857143</v>
      </c>
    </row>
    <row r="22" spans="1:28" ht="12.75">
      <c r="A22">
        <v>1000</v>
      </c>
      <c r="C22" s="2"/>
      <c r="D22" s="2"/>
      <c r="E22" s="12" t="s">
        <v>1745</v>
      </c>
      <c r="F22">
        <v>2.5</v>
      </c>
      <c r="G22" t="s">
        <v>534</v>
      </c>
      <c r="V22" s="48">
        <f>4*V21</f>
        <v>1834.6285714285716</v>
      </c>
      <c r="W22" s="48">
        <f>9*W21</f>
        <v>4814.474999999999</v>
      </c>
      <c r="X22" s="146">
        <f>4*X21</f>
        <v>5966.550691740112</v>
      </c>
      <c r="AA22" s="35">
        <f>9*AA21</f>
        <v>1049.4964285714286</v>
      </c>
      <c r="AB22" t="s">
        <v>938</v>
      </c>
    </row>
    <row r="23" spans="2:28" ht="12.75">
      <c r="B23" s="9"/>
      <c r="C23" s="2"/>
      <c r="D23" s="2"/>
      <c r="E23" s="11"/>
      <c r="V23" s="9">
        <f>V22*100/A21</f>
        <v>14.826242931230865</v>
      </c>
      <c r="W23" s="9">
        <f>100*W22/A21</f>
        <v>38.90737179611007</v>
      </c>
      <c r="X23" s="9">
        <f>X22*100/A21</f>
        <v>48.21767816924385</v>
      </c>
      <c r="AA23" s="2">
        <f>100*AA22/A21</f>
        <v>8.481329271648155</v>
      </c>
      <c r="AB23" t="s">
        <v>1786</v>
      </c>
    </row>
    <row r="24" spans="2:26" ht="12.75">
      <c r="B24" s="9"/>
      <c r="C24" s="2"/>
      <c r="D24" s="2"/>
      <c r="E24" s="12"/>
      <c r="K24" s="33" t="s">
        <v>1714</v>
      </c>
      <c r="Y24" s="168">
        <f>100*Y21/A21</f>
        <v>0.7510443794705225</v>
      </c>
      <c r="Z24" t="s">
        <v>1715</v>
      </c>
    </row>
    <row r="25" spans="1:12" ht="12.75">
      <c r="A25" s="93">
        <f>3*4000</f>
        <v>12000</v>
      </c>
      <c r="B25" s="93"/>
      <c r="C25" s="94"/>
      <c r="D25" s="94"/>
      <c r="E25" s="126" t="s">
        <v>332</v>
      </c>
      <c r="G25" s="144">
        <f>V21/F22</f>
        <v>183.46285714285716</v>
      </c>
      <c r="H25" s="33" t="s">
        <v>1675</v>
      </c>
      <c r="L25" t="s">
        <v>602</v>
      </c>
    </row>
    <row r="26" spans="1:12" ht="12.75">
      <c r="A26" s="93">
        <f>A25-A21</f>
        <v>-374.1974277515892</v>
      </c>
      <c r="B26" s="93"/>
      <c r="C26" s="93"/>
      <c r="D26" s="92"/>
      <c r="E26" s="92" t="s">
        <v>1660</v>
      </c>
      <c r="G26" s="109">
        <f>Z21/F22</f>
        <v>85.28571428571428</v>
      </c>
      <c r="H26" s="232" t="s">
        <v>939</v>
      </c>
      <c r="L26" s="6" t="s">
        <v>600</v>
      </c>
    </row>
    <row r="27" spans="7:12" ht="12.75">
      <c r="G27" s="161">
        <f>AA21/F22</f>
        <v>46.644285714285715</v>
      </c>
      <c r="H27" s="33" t="s">
        <v>1677</v>
      </c>
      <c r="L27" t="s">
        <v>601</v>
      </c>
    </row>
    <row r="28" spans="2:12" ht="12.75">
      <c r="B28" s="9"/>
      <c r="C28" s="9"/>
      <c r="D28" s="2"/>
      <c r="E28" s="11"/>
      <c r="G28">
        <f>Y21/F22</f>
        <v>37.174285714285716</v>
      </c>
      <c r="H28" s="33" t="s">
        <v>940</v>
      </c>
      <c r="L28" s="27" t="s">
        <v>603</v>
      </c>
    </row>
    <row r="29" spans="2:29" ht="12.75">
      <c r="B29" s="9"/>
      <c r="E29" s="11"/>
      <c r="F29" s="9"/>
      <c r="G29" s="143">
        <f>A21/F22</f>
        <v>4949.678971100636</v>
      </c>
      <c r="H29" t="s">
        <v>536</v>
      </c>
      <c r="J29" s="6"/>
      <c r="K29" s="6"/>
      <c r="L29" s="143">
        <v>4000</v>
      </c>
      <c r="M29" s="6" t="s">
        <v>1323</v>
      </c>
      <c r="N29" s="6"/>
      <c r="O29" s="2"/>
      <c r="P29" s="16"/>
      <c r="Q29" s="9"/>
      <c r="R29" s="29"/>
      <c r="S29" s="93"/>
      <c r="T29" s="92"/>
      <c r="U29" s="94"/>
      <c r="V29" s="92"/>
      <c r="W29" s="92"/>
      <c r="X29" s="93"/>
      <c r="Y29" s="93"/>
      <c r="AA29" s="2"/>
      <c r="AB29" s="173"/>
      <c r="AC29" s="9"/>
    </row>
    <row r="30" spans="2:29" ht="12.75">
      <c r="B30" s="9"/>
      <c r="C30" s="9"/>
      <c r="D30" s="2"/>
      <c r="E30" s="11"/>
      <c r="F30" s="9"/>
      <c r="I30" s="10"/>
      <c r="J30" s="6"/>
      <c r="K30" s="6"/>
      <c r="L30" s="143">
        <f>A21*0.66+800</f>
        <v>8966.97030231605</v>
      </c>
      <c r="M30" s="6" t="s">
        <v>1945</v>
      </c>
      <c r="N30" s="6"/>
      <c r="O30" s="2"/>
      <c r="P30" s="16"/>
      <c r="Q30" s="9"/>
      <c r="R30" s="42"/>
      <c r="S30" s="93"/>
      <c r="T30" s="93"/>
      <c r="U30" s="93"/>
      <c r="V30" s="94"/>
      <c r="W30" s="126"/>
      <c r="X30" s="93"/>
      <c r="Y30" s="93"/>
      <c r="AA30" s="2"/>
      <c r="AB30" s="8"/>
      <c r="AC30" s="9"/>
    </row>
    <row r="31" spans="2:29" ht="12.75">
      <c r="B31" s="9"/>
      <c r="C31" s="9"/>
      <c r="D31" s="9"/>
      <c r="E31" s="152"/>
      <c r="F31" s="9"/>
      <c r="I31" s="10"/>
      <c r="J31" s="6"/>
      <c r="K31" s="6"/>
      <c r="L31" s="143">
        <f>L30/2.4</f>
        <v>3736.2376259650205</v>
      </c>
      <c r="M31" s="6" t="s">
        <v>1944</v>
      </c>
      <c r="N31" s="6"/>
      <c r="O31" s="2"/>
      <c r="P31" s="16"/>
      <c r="Q31" s="9"/>
      <c r="R31" s="16"/>
      <c r="S31" s="16"/>
      <c r="T31" s="42"/>
      <c r="U31" s="60"/>
      <c r="V31" s="9"/>
      <c r="W31" s="9"/>
      <c r="X31" s="9"/>
      <c r="Y31" s="9"/>
      <c r="AA31" s="2"/>
      <c r="AB31" s="9"/>
      <c r="AC31" s="9"/>
    </row>
    <row r="32" spans="1:29" ht="12.75" customHeight="1">
      <c r="A32">
        <f>1060/B21*A21</f>
        <v>4816.984676245569</v>
      </c>
      <c r="B32" s="22">
        <v>1060</v>
      </c>
      <c r="E32" s="12" t="s">
        <v>1744</v>
      </c>
      <c r="F32" s="28"/>
      <c r="G32" s="1"/>
      <c r="H32" s="1"/>
      <c r="I32" s="1"/>
      <c r="J32" s="1"/>
      <c r="K32" s="1"/>
      <c r="L32" s="1"/>
      <c r="M32" s="1"/>
      <c r="N32" s="1"/>
      <c r="O32" s="1"/>
      <c r="P32" s="1"/>
      <c r="Q32" s="1"/>
      <c r="R32" s="1"/>
      <c r="S32" s="1"/>
      <c r="T32" s="1"/>
      <c r="U32" s="1"/>
      <c r="V32" s="1"/>
      <c r="W32" s="1"/>
      <c r="X32" s="1"/>
      <c r="Y32" s="1"/>
      <c r="Z32" s="1"/>
      <c r="AA32" s="1"/>
      <c r="AB32" s="1"/>
      <c r="AC32" s="1"/>
    </row>
    <row r="33" spans="1:29" ht="12.75" customHeight="1">
      <c r="A33" s="9">
        <f>A22+A21-A32</f>
        <v>8557.21275150602</v>
      </c>
      <c r="B33" s="22"/>
      <c r="E33" s="12" t="s">
        <v>1746</v>
      </c>
      <c r="F33" s="28"/>
      <c r="G33" s="1"/>
      <c r="H33" s="1"/>
      <c r="I33" s="1"/>
      <c r="J33" s="1"/>
      <c r="K33" s="1"/>
      <c r="L33" s="1"/>
      <c r="M33" s="1"/>
      <c r="N33" s="1"/>
      <c r="O33" s="1"/>
      <c r="P33" s="1"/>
      <c r="Q33" s="1"/>
      <c r="R33" s="1"/>
      <c r="S33" s="1"/>
      <c r="T33" s="1"/>
      <c r="U33" s="1"/>
      <c r="V33" s="1"/>
      <c r="W33" s="1"/>
      <c r="X33" s="1"/>
      <c r="Y33" s="1"/>
      <c r="Z33" s="1"/>
      <c r="AA33" s="1"/>
      <c r="AB33" s="1"/>
      <c r="AC33" s="1"/>
    </row>
    <row r="34" spans="1:29" ht="12.75" customHeight="1">
      <c r="A34" s="2">
        <v>2.3</v>
      </c>
      <c r="B34" s="22"/>
      <c r="E34" s="12" t="s">
        <v>1748</v>
      </c>
      <c r="F34" s="28"/>
      <c r="G34" s="1"/>
      <c r="H34" s="1"/>
      <c r="I34" s="1"/>
      <c r="J34" s="1"/>
      <c r="K34" s="1"/>
      <c r="L34" s="1"/>
      <c r="M34" s="1"/>
      <c r="N34" s="1"/>
      <c r="O34" s="1"/>
      <c r="P34" s="1"/>
      <c r="Q34" s="1"/>
      <c r="R34" s="1"/>
      <c r="S34" s="1"/>
      <c r="T34" s="1"/>
      <c r="U34" s="1"/>
      <c r="V34" s="1"/>
      <c r="W34" s="1"/>
      <c r="X34" s="1"/>
      <c r="Y34" s="1"/>
      <c r="Z34" s="1"/>
      <c r="AA34" s="1"/>
      <c r="AB34" s="1"/>
      <c r="AC34" s="1"/>
    </row>
    <row r="35" spans="1:29" ht="12.75" customHeight="1">
      <c r="A35" s="9">
        <f>A33/A34</f>
        <v>3720.5272832634873</v>
      </c>
      <c r="B35" s="22"/>
      <c r="E35" s="12" t="s">
        <v>1747</v>
      </c>
      <c r="F35" s="28"/>
      <c r="G35" s="1"/>
      <c r="H35" s="1"/>
      <c r="I35" s="1"/>
      <c r="J35" s="1"/>
      <c r="K35" s="1"/>
      <c r="L35" s="1"/>
      <c r="M35" s="1"/>
      <c r="N35" s="1"/>
      <c r="O35" s="1"/>
      <c r="P35" s="1"/>
      <c r="Q35" s="1"/>
      <c r="R35" s="1"/>
      <c r="S35" s="1"/>
      <c r="T35" s="1"/>
      <c r="U35" s="1"/>
      <c r="V35" s="1"/>
      <c r="W35" s="1"/>
      <c r="X35" s="1"/>
      <c r="Y35" s="1"/>
      <c r="Z35" s="1"/>
      <c r="AA35" s="1"/>
      <c r="AB35" s="1"/>
      <c r="AC35" s="1"/>
    </row>
    <row r="36" spans="2:29" ht="12.75" customHeight="1">
      <c r="B36" s="28"/>
      <c r="E36" s="12"/>
      <c r="F36" s="28"/>
      <c r="G36" s="1"/>
      <c r="H36" s="1"/>
      <c r="I36" s="1"/>
      <c r="J36" s="1"/>
      <c r="K36" s="1"/>
      <c r="L36" s="1"/>
      <c r="M36" s="1"/>
      <c r="N36" s="1"/>
      <c r="O36" s="1"/>
      <c r="P36" s="1"/>
      <c r="Q36" s="1"/>
      <c r="R36" s="1"/>
      <c r="S36" s="1"/>
      <c r="T36" s="1"/>
      <c r="U36" s="1"/>
      <c r="V36" s="1"/>
      <c r="W36" s="1"/>
      <c r="X36" s="1"/>
      <c r="Y36" s="1"/>
      <c r="Z36" s="1"/>
      <c r="AA36" s="1"/>
      <c r="AB36" s="1"/>
      <c r="AC36" s="1"/>
    </row>
    <row r="37" spans="1:29" ht="12.75">
      <c r="A37" s="9">
        <f aca="true" t="shared" si="33" ref="A37:A51">G37*U37</f>
        <v>540</v>
      </c>
      <c r="B37">
        <f>6*F37</f>
        <v>132</v>
      </c>
      <c r="C37" s="2">
        <f aca="true" t="shared" si="34" ref="C37:C51">B37/28.349523</f>
        <v>4.6561629978747785</v>
      </c>
      <c r="D37" s="2">
        <f aca="true" t="shared" si="35" ref="D37:D56">C37/16</f>
        <v>0.29101018736717366</v>
      </c>
      <c r="E37" s="11" t="s">
        <v>253</v>
      </c>
      <c r="F37" s="9">
        <v>22</v>
      </c>
      <c r="G37">
        <v>90</v>
      </c>
      <c r="H37">
        <v>2</v>
      </c>
      <c r="I37" s="10">
        <v>0.5</v>
      </c>
      <c r="J37">
        <v>0</v>
      </c>
      <c r="K37">
        <v>18</v>
      </c>
      <c r="L37">
        <v>8</v>
      </c>
      <c r="M37">
        <v>1</v>
      </c>
      <c r="N37">
        <v>0</v>
      </c>
      <c r="O37" s="2">
        <f aca="true" t="shared" si="36" ref="O37:O51">G37/F37</f>
        <v>4.090909090909091</v>
      </c>
      <c r="P37" s="42">
        <f aca="true" t="shared" si="37" ref="P37:P51">100*4*M37/G37</f>
        <v>4.444444444444445</v>
      </c>
      <c r="Q37" s="9">
        <f aca="true" t="shared" si="38" ref="Q37:Q51">100*9*H37/G37</f>
        <v>20</v>
      </c>
      <c r="R37" s="29">
        <f aca="true" t="shared" si="39" ref="R37:R51">100*(I37*9)/G37</f>
        <v>5</v>
      </c>
      <c r="S37" s="29">
        <f aca="true" t="shared" si="40" ref="S37:S51">100*K37*4/G37</f>
        <v>80</v>
      </c>
      <c r="T37" s="42">
        <f aca="true" t="shared" si="41" ref="T37:T51">100*N37/F37</f>
        <v>0</v>
      </c>
      <c r="U37" s="44">
        <f aca="true" t="shared" si="42" ref="U37:U51">B37/F37</f>
        <v>6</v>
      </c>
      <c r="V37" s="9">
        <f aca="true" t="shared" si="43" ref="V37:V51">U37*M37</f>
        <v>6</v>
      </c>
      <c r="W37" s="9">
        <f aca="true" t="shared" si="44" ref="W37:W51">U37*H37</f>
        <v>12</v>
      </c>
      <c r="X37" s="9">
        <f aca="true" t="shared" si="45" ref="X37:X51">U37*K37</f>
        <v>108</v>
      </c>
      <c r="Y37" s="9">
        <f aca="true" t="shared" si="46" ref="Y37:Y51">N37*U37</f>
        <v>0</v>
      </c>
      <c r="Z37">
        <f aca="true" t="shared" si="47" ref="Z37:Z51">U37*J37</f>
        <v>0</v>
      </c>
      <c r="AA37" s="2">
        <f aca="true" t="shared" si="48" ref="AA37:AA51">I37*U37</f>
        <v>3</v>
      </c>
      <c r="AB37" s="9" t="s">
        <v>1591</v>
      </c>
      <c r="AC37" s="9"/>
    </row>
    <row r="38" spans="1:29" ht="12.75">
      <c r="A38" s="9">
        <f t="shared" si="33"/>
        <v>380</v>
      </c>
      <c r="B38">
        <v>100</v>
      </c>
      <c r="C38" s="2">
        <f t="shared" si="34"/>
        <v>3.527396210511196</v>
      </c>
      <c r="D38" s="2">
        <f t="shared" si="35"/>
        <v>0.22046226315694975</v>
      </c>
      <c r="E38" s="11" t="s">
        <v>44</v>
      </c>
      <c r="F38" s="9">
        <v>50</v>
      </c>
      <c r="G38">
        <v>190</v>
      </c>
      <c r="H38">
        <v>4.5</v>
      </c>
      <c r="I38" s="10">
        <v>3</v>
      </c>
      <c r="J38">
        <v>15</v>
      </c>
      <c r="K38">
        <v>19</v>
      </c>
      <c r="L38">
        <v>2</v>
      </c>
      <c r="M38">
        <v>20</v>
      </c>
      <c r="N38">
        <v>0</v>
      </c>
      <c r="O38" s="2">
        <f t="shared" si="36"/>
        <v>3.8</v>
      </c>
      <c r="P38" s="29">
        <f t="shared" si="37"/>
        <v>42.10526315789474</v>
      </c>
      <c r="Q38" s="9">
        <f t="shared" si="38"/>
        <v>21.31578947368421</v>
      </c>
      <c r="R38" s="16">
        <f t="shared" si="39"/>
        <v>14.210526315789474</v>
      </c>
      <c r="S38" s="16">
        <f t="shared" si="40"/>
        <v>40</v>
      </c>
      <c r="T38" s="42">
        <f t="shared" si="41"/>
        <v>0</v>
      </c>
      <c r="U38" s="44">
        <f t="shared" si="42"/>
        <v>2</v>
      </c>
      <c r="V38" s="9">
        <f t="shared" si="43"/>
        <v>40</v>
      </c>
      <c r="W38" s="9">
        <f t="shared" si="44"/>
        <v>9</v>
      </c>
      <c r="X38" s="9">
        <f t="shared" si="45"/>
        <v>38</v>
      </c>
      <c r="Y38" s="9">
        <f t="shared" si="46"/>
        <v>0</v>
      </c>
      <c r="Z38">
        <f t="shared" si="47"/>
        <v>30</v>
      </c>
      <c r="AA38" s="2">
        <f t="shared" si="48"/>
        <v>6</v>
      </c>
      <c r="AB38" s="9" t="s">
        <v>1468</v>
      </c>
      <c r="AC38" s="9"/>
    </row>
    <row r="39" spans="1:29" ht="12.75">
      <c r="A39" s="9">
        <f t="shared" si="33"/>
        <v>420</v>
      </c>
      <c r="B39">
        <v>100</v>
      </c>
      <c r="C39" s="2">
        <f t="shared" si="34"/>
        <v>3.527396210511196</v>
      </c>
      <c r="D39" s="2">
        <f t="shared" si="35"/>
        <v>0.22046226315694975</v>
      </c>
      <c r="E39" s="11" t="s">
        <v>531</v>
      </c>
      <c r="F39" s="9">
        <v>50</v>
      </c>
      <c r="G39">
        <v>210</v>
      </c>
      <c r="H39">
        <v>7</v>
      </c>
      <c r="I39" s="10">
        <v>4.5</v>
      </c>
      <c r="J39">
        <v>2.5</v>
      </c>
      <c r="K39">
        <v>22</v>
      </c>
      <c r="L39">
        <v>13</v>
      </c>
      <c r="M39">
        <v>16</v>
      </c>
      <c r="N39" s="9">
        <v>0.5</v>
      </c>
      <c r="O39" s="2">
        <f t="shared" si="36"/>
        <v>4.2</v>
      </c>
      <c r="P39" s="29">
        <f t="shared" si="37"/>
        <v>30.476190476190474</v>
      </c>
      <c r="Q39" s="9">
        <f t="shared" si="38"/>
        <v>30</v>
      </c>
      <c r="R39" s="42">
        <f t="shared" si="39"/>
        <v>19.285714285714285</v>
      </c>
      <c r="S39" s="16">
        <f t="shared" si="40"/>
        <v>41.904761904761905</v>
      </c>
      <c r="T39" s="9">
        <f t="shared" si="41"/>
        <v>1</v>
      </c>
      <c r="U39" s="44">
        <f t="shared" si="42"/>
        <v>2</v>
      </c>
      <c r="V39" s="16">
        <f t="shared" si="43"/>
        <v>32</v>
      </c>
      <c r="W39" s="9">
        <f t="shared" si="44"/>
        <v>14</v>
      </c>
      <c r="X39" s="9">
        <f t="shared" si="45"/>
        <v>44</v>
      </c>
      <c r="Y39" s="16">
        <f t="shared" si="46"/>
        <v>1</v>
      </c>
      <c r="Z39">
        <f t="shared" si="47"/>
        <v>5</v>
      </c>
      <c r="AA39" s="2">
        <f t="shared" si="48"/>
        <v>9</v>
      </c>
      <c r="AB39" s="11" t="s">
        <v>532</v>
      </c>
      <c r="AC39" s="9"/>
    </row>
    <row r="40" spans="1:29" ht="12.75">
      <c r="A40" s="9">
        <f t="shared" si="33"/>
        <v>630</v>
      </c>
      <c r="B40">
        <f>3*F40</f>
        <v>150</v>
      </c>
      <c r="C40" s="2">
        <f t="shared" si="34"/>
        <v>5.291094315766794</v>
      </c>
      <c r="D40" s="2">
        <f t="shared" si="35"/>
        <v>0.33069339473542464</v>
      </c>
      <c r="E40" s="11" t="s">
        <v>1321</v>
      </c>
      <c r="F40" s="9">
        <v>50</v>
      </c>
      <c r="G40">
        <v>210</v>
      </c>
      <c r="H40">
        <v>7</v>
      </c>
      <c r="I40" s="10">
        <v>4.5</v>
      </c>
      <c r="J40">
        <v>2.5</v>
      </c>
      <c r="K40">
        <v>21</v>
      </c>
      <c r="L40">
        <v>14</v>
      </c>
      <c r="M40">
        <v>15</v>
      </c>
      <c r="N40">
        <v>1</v>
      </c>
      <c r="O40" s="2">
        <f t="shared" si="36"/>
        <v>4.2</v>
      </c>
      <c r="P40" s="16">
        <f t="shared" si="37"/>
        <v>28.571428571428573</v>
      </c>
      <c r="Q40" s="9">
        <f t="shared" si="38"/>
        <v>30</v>
      </c>
      <c r="R40" s="42">
        <f t="shared" si="39"/>
        <v>19.285714285714285</v>
      </c>
      <c r="S40" s="16">
        <f t="shared" si="40"/>
        <v>40</v>
      </c>
      <c r="T40" s="9">
        <f t="shared" si="41"/>
        <v>2</v>
      </c>
      <c r="U40" s="44">
        <f t="shared" si="42"/>
        <v>3</v>
      </c>
      <c r="V40" s="16">
        <f t="shared" si="43"/>
        <v>45</v>
      </c>
      <c r="W40" s="9">
        <f t="shared" si="44"/>
        <v>21</v>
      </c>
      <c r="X40" s="9">
        <f t="shared" si="45"/>
        <v>63</v>
      </c>
      <c r="Y40" s="16">
        <f t="shared" si="46"/>
        <v>3</v>
      </c>
      <c r="Z40">
        <f t="shared" si="47"/>
        <v>7.5</v>
      </c>
      <c r="AA40" s="2">
        <f t="shared" si="48"/>
        <v>13.5</v>
      </c>
      <c r="AB40" s="11" t="s">
        <v>532</v>
      </c>
      <c r="AC40" s="9"/>
    </row>
    <row r="41" spans="1:29" ht="12.75">
      <c r="A41" s="9">
        <f t="shared" si="33"/>
        <v>420</v>
      </c>
      <c r="B41">
        <f>3*35</f>
        <v>105</v>
      </c>
      <c r="C41" s="2">
        <f t="shared" si="34"/>
        <v>3.703766021036756</v>
      </c>
      <c r="D41" s="2">
        <f t="shared" si="35"/>
        <v>0.23148537631479724</v>
      </c>
      <c r="E41" s="11" t="s">
        <v>43</v>
      </c>
      <c r="F41" s="9">
        <v>35</v>
      </c>
      <c r="G41">
        <v>140</v>
      </c>
      <c r="H41">
        <v>3.5</v>
      </c>
      <c r="I41" s="10">
        <v>0</v>
      </c>
      <c r="J41" s="6">
        <v>0</v>
      </c>
      <c r="K41" s="6">
        <v>26</v>
      </c>
      <c r="L41" s="6">
        <v>13</v>
      </c>
      <c r="M41" s="6">
        <v>2</v>
      </c>
      <c r="N41" s="6">
        <v>1</v>
      </c>
      <c r="O41" s="2">
        <f t="shared" si="36"/>
        <v>4</v>
      </c>
      <c r="P41" s="16">
        <f t="shared" si="37"/>
        <v>5.714285714285714</v>
      </c>
      <c r="Q41" s="9">
        <f t="shared" si="38"/>
        <v>22.5</v>
      </c>
      <c r="R41" s="29">
        <f t="shared" si="39"/>
        <v>0</v>
      </c>
      <c r="S41" s="16">
        <f t="shared" si="40"/>
        <v>74.28571428571429</v>
      </c>
      <c r="T41" s="9">
        <f t="shared" si="41"/>
        <v>2.857142857142857</v>
      </c>
      <c r="U41" s="44">
        <f t="shared" si="42"/>
        <v>3</v>
      </c>
      <c r="V41" s="16">
        <f t="shared" si="43"/>
        <v>6</v>
      </c>
      <c r="W41" s="9">
        <f t="shared" si="44"/>
        <v>10.5</v>
      </c>
      <c r="X41" s="9">
        <f t="shared" si="45"/>
        <v>78</v>
      </c>
      <c r="Y41" s="9">
        <f t="shared" si="46"/>
        <v>3</v>
      </c>
      <c r="Z41">
        <f t="shared" si="47"/>
        <v>0</v>
      </c>
      <c r="AA41" s="2">
        <f t="shared" si="48"/>
        <v>0</v>
      </c>
      <c r="AB41" s="9" t="s">
        <v>1823</v>
      </c>
      <c r="AC41" s="9"/>
    </row>
    <row r="42" spans="1:29" ht="12.75">
      <c r="A42" s="9">
        <f t="shared" si="33"/>
        <v>360</v>
      </c>
      <c r="B42" s="6">
        <f>2*48</f>
        <v>96</v>
      </c>
      <c r="C42" s="2">
        <f t="shared" si="34"/>
        <v>3.3863003620907484</v>
      </c>
      <c r="D42" s="2">
        <f t="shared" si="35"/>
        <v>0.21164377263067177</v>
      </c>
      <c r="E42" s="11" t="s">
        <v>724</v>
      </c>
      <c r="F42" s="9">
        <v>48</v>
      </c>
      <c r="G42">
        <v>180</v>
      </c>
      <c r="H42">
        <v>4</v>
      </c>
      <c r="I42" s="10">
        <v>3</v>
      </c>
      <c r="J42" s="6">
        <v>0</v>
      </c>
      <c r="K42" s="6">
        <v>26</v>
      </c>
      <c r="L42" s="6">
        <v>14</v>
      </c>
      <c r="M42" s="6">
        <v>10</v>
      </c>
      <c r="N42" s="6">
        <v>2</v>
      </c>
      <c r="O42" s="2">
        <f t="shared" si="36"/>
        <v>3.75</v>
      </c>
      <c r="P42" s="16">
        <f t="shared" si="37"/>
        <v>22.22222222222222</v>
      </c>
      <c r="Q42" s="9">
        <f t="shared" si="38"/>
        <v>20</v>
      </c>
      <c r="R42" s="42">
        <f t="shared" si="39"/>
        <v>15</v>
      </c>
      <c r="S42" s="16">
        <f t="shared" si="40"/>
        <v>57.77777777777778</v>
      </c>
      <c r="T42" s="9">
        <f t="shared" si="41"/>
        <v>4.166666666666667</v>
      </c>
      <c r="U42" s="44">
        <f t="shared" si="42"/>
        <v>2</v>
      </c>
      <c r="V42" s="9">
        <f t="shared" si="43"/>
        <v>20</v>
      </c>
      <c r="W42" s="9">
        <f t="shared" si="44"/>
        <v>8</v>
      </c>
      <c r="X42" s="9">
        <f t="shared" si="45"/>
        <v>52</v>
      </c>
      <c r="Y42" s="9">
        <f t="shared" si="46"/>
        <v>4</v>
      </c>
      <c r="Z42">
        <f t="shared" si="47"/>
        <v>0</v>
      </c>
      <c r="AA42" s="2">
        <f t="shared" si="48"/>
        <v>6</v>
      </c>
      <c r="AB42" s="9" t="s">
        <v>1574</v>
      </c>
      <c r="AC42" s="9"/>
    </row>
    <row r="43" spans="1:29" ht="12.75">
      <c r="A43" s="9">
        <f t="shared" si="33"/>
        <v>760</v>
      </c>
      <c r="B43" s="6">
        <f>4*50</f>
        <v>200</v>
      </c>
      <c r="C43" s="2">
        <f t="shared" si="34"/>
        <v>7.054792421022392</v>
      </c>
      <c r="D43" s="2">
        <f t="shared" si="35"/>
        <v>0.4409245263138995</v>
      </c>
      <c r="E43" s="11" t="s">
        <v>1467</v>
      </c>
      <c r="F43" s="9">
        <v>50</v>
      </c>
      <c r="G43">
        <v>190</v>
      </c>
      <c r="H43">
        <v>6</v>
      </c>
      <c r="I43" s="10">
        <v>3</v>
      </c>
      <c r="J43" s="6">
        <v>0</v>
      </c>
      <c r="K43" s="6">
        <v>22</v>
      </c>
      <c r="L43" s="6">
        <v>17</v>
      </c>
      <c r="M43" s="6">
        <v>14</v>
      </c>
      <c r="N43" s="6">
        <v>0</v>
      </c>
      <c r="O43" s="2">
        <f t="shared" si="36"/>
        <v>3.8</v>
      </c>
      <c r="P43" s="16">
        <f t="shared" si="37"/>
        <v>29.473684210526315</v>
      </c>
      <c r="Q43" s="9">
        <f t="shared" si="38"/>
        <v>28.42105263157895</v>
      </c>
      <c r="R43" s="16">
        <f t="shared" si="39"/>
        <v>14.210526315789474</v>
      </c>
      <c r="S43" s="16">
        <f t="shared" si="40"/>
        <v>46.31578947368421</v>
      </c>
      <c r="T43" s="42">
        <f t="shared" si="41"/>
        <v>0</v>
      </c>
      <c r="U43" s="44">
        <f t="shared" si="42"/>
        <v>4</v>
      </c>
      <c r="V43" s="9">
        <f t="shared" si="43"/>
        <v>56</v>
      </c>
      <c r="W43" s="9">
        <f t="shared" si="44"/>
        <v>24</v>
      </c>
      <c r="X43" s="9">
        <f t="shared" si="45"/>
        <v>88</v>
      </c>
      <c r="Y43" s="9">
        <f t="shared" si="46"/>
        <v>0</v>
      </c>
      <c r="Z43">
        <f t="shared" si="47"/>
        <v>0</v>
      </c>
      <c r="AA43" s="2">
        <f t="shared" si="48"/>
        <v>12</v>
      </c>
      <c r="AB43" s="9" t="s">
        <v>1468</v>
      </c>
      <c r="AC43" s="9"/>
    </row>
    <row r="44" spans="1:29" ht="12.75">
      <c r="A44" s="9">
        <f t="shared" si="33"/>
        <v>630</v>
      </c>
      <c r="B44" s="6">
        <f>200-50</f>
        <v>150</v>
      </c>
      <c r="C44" s="2">
        <f t="shared" si="34"/>
        <v>5.291094315766794</v>
      </c>
      <c r="D44" s="2">
        <f t="shared" si="35"/>
        <v>0.33069339473542464</v>
      </c>
      <c r="E44" s="11" t="s">
        <v>517</v>
      </c>
      <c r="F44" s="9">
        <v>50</v>
      </c>
      <c r="G44">
        <v>210</v>
      </c>
      <c r="H44">
        <v>7</v>
      </c>
      <c r="I44" s="10">
        <v>2.5</v>
      </c>
      <c r="J44" s="6">
        <v>0</v>
      </c>
      <c r="K44" s="6">
        <v>23</v>
      </c>
      <c r="L44" s="6">
        <v>16</v>
      </c>
      <c r="M44" s="6">
        <v>15</v>
      </c>
      <c r="N44" s="6">
        <v>2</v>
      </c>
      <c r="O44" s="2">
        <f t="shared" si="36"/>
        <v>4.2</v>
      </c>
      <c r="P44" s="16">
        <f t="shared" si="37"/>
        <v>28.571428571428573</v>
      </c>
      <c r="Q44" s="9">
        <f t="shared" si="38"/>
        <v>30</v>
      </c>
      <c r="R44" s="16">
        <f t="shared" si="39"/>
        <v>10.714285714285714</v>
      </c>
      <c r="S44" s="16">
        <f t="shared" si="40"/>
        <v>43.80952380952381</v>
      </c>
      <c r="T44" s="42">
        <f t="shared" si="41"/>
        <v>4</v>
      </c>
      <c r="U44" s="44">
        <f t="shared" si="42"/>
        <v>3</v>
      </c>
      <c r="V44" s="9">
        <f t="shared" si="43"/>
        <v>45</v>
      </c>
      <c r="W44" s="9">
        <f t="shared" si="44"/>
        <v>21</v>
      </c>
      <c r="X44" s="9">
        <f t="shared" si="45"/>
        <v>69</v>
      </c>
      <c r="Y44" s="9">
        <f t="shared" si="46"/>
        <v>6</v>
      </c>
      <c r="Z44">
        <f t="shared" si="47"/>
        <v>0</v>
      </c>
      <c r="AA44" s="2">
        <f t="shared" si="48"/>
        <v>7.5</v>
      </c>
      <c r="AB44" s="9" t="s">
        <v>1468</v>
      </c>
      <c r="AC44" s="9"/>
    </row>
    <row r="45" spans="1:29" ht="12.75">
      <c r="A45" s="9">
        <f t="shared" si="33"/>
        <v>1715</v>
      </c>
      <c r="B45">
        <f>111+114+118</f>
        <v>343</v>
      </c>
      <c r="C45" s="2">
        <f t="shared" si="34"/>
        <v>12.098969002053403</v>
      </c>
      <c r="D45" s="2">
        <f t="shared" si="35"/>
        <v>0.7561855626283377</v>
      </c>
      <c r="E45" s="11" t="s">
        <v>45</v>
      </c>
      <c r="F45" s="9">
        <v>30</v>
      </c>
      <c r="G45">
        <v>150</v>
      </c>
      <c r="H45">
        <v>10</v>
      </c>
      <c r="I45" s="10">
        <v>1.5</v>
      </c>
      <c r="J45" s="6">
        <v>0</v>
      </c>
      <c r="K45" s="6">
        <v>13</v>
      </c>
      <c r="L45" s="6">
        <v>7</v>
      </c>
      <c r="M45" s="6">
        <v>4</v>
      </c>
      <c r="N45" s="6">
        <v>2</v>
      </c>
      <c r="O45" s="2">
        <f t="shared" si="36"/>
        <v>5</v>
      </c>
      <c r="P45" s="16">
        <f t="shared" si="37"/>
        <v>10.666666666666666</v>
      </c>
      <c r="Q45" s="9">
        <f t="shared" si="38"/>
        <v>60</v>
      </c>
      <c r="R45" s="16">
        <f t="shared" si="39"/>
        <v>9</v>
      </c>
      <c r="S45" s="16">
        <f t="shared" si="40"/>
        <v>34.666666666666664</v>
      </c>
      <c r="T45" s="9">
        <f t="shared" si="41"/>
        <v>6.666666666666667</v>
      </c>
      <c r="U45" s="44">
        <f t="shared" si="42"/>
        <v>11.433333333333334</v>
      </c>
      <c r="V45" s="16">
        <f t="shared" si="43"/>
        <v>45.733333333333334</v>
      </c>
      <c r="W45" s="9">
        <f t="shared" si="44"/>
        <v>114.33333333333334</v>
      </c>
      <c r="X45" s="9">
        <f t="shared" si="45"/>
        <v>148.63333333333333</v>
      </c>
      <c r="Y45" s="9">
        <f t="shared" si="46"/>
        <v>22.866666666666667</v>
      </c>
      <c r="Z45">
        <f t="shared" si="47"/>
        <v>0</v>
      </c>
      <c r="AA45" s="2">
        <f t="shared" si="48"/>
        <v>17.15</v>
      </c>
      <c r="AB45" s="9"/>
      <c r="AC45" s="9"/>
    </row>
    <row r="46" spans="1:29" ht="12.75">
      <c r="A46" s="9">
        <f t="shared" si="33"/>
        <v>1348.6666666666667</v>
      </c>
      <c r="B46">
        <f>79+79+80</f>
        <v>238</v>
      </c>
      <c r="C46" s="2">
        <f t="shared" si="34"/>
        <v>8.395202981016647</v>
      </c>
      <c r="D46" s="2">
        <f t="shared" si="35"/>
        <v>0.5247001863135404</v>
      </c>
      <c r="E46" s="11" t="s">
        <v>604</v>
      </c>
      <c r="F46" s="9">
        <v>30</v>
      </c>
      <c r="G46">
        <v>170</v>
      </c>
      <c r="H46">
        <v>15</v>
      </c>
      <c r="I46" s="10">
        <v>1</v>
      </c>
      <c r="J46">
        <v>0</v>
      </c>
      <c r="K46">
        <v>5</v>
      </c>
      <c r="L46">
        <v>1</v>
      </c>
      <c r="M46">
        <v>7</v>
      </c>
      <c r="N46">
        <v>4</v>
      </c>
      <c r="O46" s="2">
        <f t="shared" si="36"/>
        <v>5.666666666666667</v>
      </c>
      <c r="P46" s="9">
        <f t="shared" si="37"/>
        <v>16.470588235294116</v>
      </c>
      <c r="Q46" s="29">
        <f t="shared" si="38"/>
        <v>79.41176470588235</v>
      </c>
      <c r="R46" s="29">
        <f t="shared" si="39"/>
        <v>5.294117647058823</v>
      </c>
      <c r="S46" s="16">
        <f t="shared" si="40"/>
        <v>11.764705882352942</v>
      </c>
      <c r="T46" s="29">
        <f t="shared" si="41"/>
        <v>13.333333333333334</v>
      </c>
      <c r="U46" s="44">
        <f t="shared" si="42"/>
        <v>7.933333333333334</v>
      </c>
      <c r="V46" s="9">
        <f t="shared" si="43"/>
        <v>55.53333333333333</v>
      </c>
      <c r="W46" s="9">
        <f t="shared" si="44"/>
        <v>119</v>
      </c>
      <c r="X46" s="9">
        <f t="shared" si="45"/>
        <v>39.66666666666667</v>
      </c>
      <c r="Y46" s="9">
        <f t="shared" si="46"/>
        <v>31.733333333333334</v>
      </c>
      <c r="Z46">
        <f t="shared" si="47"/>
        <v>0</v>
      </c>
      <c r="AA46" s="2">
        <f t="shared" si="48"/>
        <v>7.933333333333334</v>
      </c>
      <c r="AB46" s="9" t="s">
        <v>527</v>
      </c>
      <c r="AC46" s="9"/>
    </row>
    <row r="47" spans="1:29" ht="12.75">
      <c r="A47" s="9">
        <f t="shared" si="33"/>
        <v>220</v>
      </c>
      <c r="B47">
        <v>56</v>
      </c>
      <c r="C47" s="2">
        <f t="shared" si="34"/>
        <v>1.97534187788627</v>
      </c>
      <c r="D47" s="2">
        <f t="shared" si="35"/>
        <v>0.12345886736789187</v>
      </c>
      <c r="E47" s="11" t="s">
        <v>606</v>
      </c>
      <c r="F47">
        <v>56</v>
      </c>
      <c r="G47">
        <v>220</v>
      </c>
      <c r="H47">
        <v>6</v>
      </c>
      <c r="I47" s="10">
        <v>4</v>
      </c>
      <c r="J47">
        <v>2.5</v>
      </c>
      <c r="K47">
        <v>34</v>
      </c>
      <c r="L47">
        <v>13</v>
      </c>
      <c r="M47">
        <v>8</v>
      </c>
      <c r="N47">
        <v>2</v>
      </c>
      <c r="O47" s="2">
        <f t="shared" si="36"/>
        <v>3.9285714285714284</v>
      </c>
      <c r="P47" s="16">
        <f t="shared" si="37"/>
        <v>14.545454545454545</v>
      </c>
      <c r="Q47" s="9">
        <f t="shared" si="38"/>
        <v>24.545454545454547</v>
      </c>
      <c r="R47" s="42">
        <f t="shared" si="39"/>
        <v>16.363636363636363</v>
      </c>
      <c r="S47" s="16">
        <f t="shared" si="40"/>
        <v>61.81818181818182</v>
      </c>
      <c r="T47" s="16">
        <f t="shared" si="41"/>
        <v>3.5714285714285716</v>
      </c>
      <c r="U47" s="44">
        <f t="shared" si="42"/>
        <v>1</v>
      </c>
      <c r="V47" s="16">
        <f t="shared" si="43"/>
        <v>8</v>
      </c>
      <c r="W47" s="9">
        <f t="shared" si="44"/>
        <v>6</v>
      </c>
      <c r="X47" s="9">
        <f t="shared" si="45"/>
        <v>34</v>
      </c>
      <c r="Y47" s="16">
        <f t="shared" si="46"/>
        <v>2</v>
      </c>
      <c r="Z47">
        <f t="shared" si="47"/>
        <v>2.5</v>
      </c>
      <c r="AA47" s="2">
        <f t="shared" si="48"/>
        <v>4</v>
      </c>
      <c r="AB47" s="11"/>
      <c r="AC47" s="9"/>
    </row>
    <row r="48" spans="1:29" ht="12.75">
      <c r="A48" s="9">
        <f t="shared" si="33"/>
        <v>210</v>
      </c>
      <c r="B48">
        <v>60</v>
      </c>
      <c r="C48" s="2">
        <f t="shared" si="34"/>
        <v>2.116437726306718</v>
      </c>
      <c r="D48" s="2">
        <f t="shared" si="35"/>
        <v>0.13227735789416986</v>
      </c>
      <c r="E48" s="11" t="s">
        <v>861</v>
      </c>
      <c r="F48" s="9">
        <v>60</v>
      </c>
      <c r="G48">
        <v>210</v>
      </c>
      <c r="H48">
        <v>6</v>
      </c>
      <c r="I48" s="10">
        <v>4</v>
      </c>
      <c r="J48">
        <v>4</v>
      </c>
      <c r="K48">
        <v>24</v>
      </c>
      <c r="L48">
        <v>1</v>
      </c>
      <c r="M48">
        <v>21</v>
      </c>
      <c r="N48">
        <v>1</v>
      </c>
      <c r="O48" s="2">
        <f t="shared" si="36"/>
        <v>3.5</v>
      </c>
      <c r="P48" s="29">
        <f t="shared" si="37"/>
        <v>40</v>
      </c>
      <c r="Q48" s="9">
        <f t="shared" si="38"/>
        <v>25.714285714285715</v>
      </c>
      <c r="R48" s="42">
        <f t="shared" si="39"/>
        <v>17.142857142857142</v>
      </c>
      <c r="S48" s="16">
        <f t="shared" si="40"/>
        <v>45.714285714285715</v>
      </c>
      <c r="T48" s="16">
        <f t="shared" si="41"/>
        <v>1.6666666666666667</v>
      </c>
      <c r="U48" s="44">
        <f t="shared" si="42"/>
        <v>1</v>
      </c>
      <c r="V48" s="16">
        <f t="shared" si="43"/>
        <v>21</v>
      </c>
      <c r="W48" s="9">
        <f t="shared" si="44"/>
        <v>6</v>
      </c>
      <c r="X48" s="9">
        <f t="shared" si="45"/>
        <v>24</v>
      </c>
      <c r="Y48" s="16">
        <f t="shared" si="46"/>
        <v>1</v>
      </c>
      <c r="Z48">
        <f t="shared" si="47"/>
        <v>4</v>
      </c>
      <c r="AA48" s="2">
        <f t="shared" si="48"/>
        <v>4</v>
      </c>
      <c r="AB48" s="11" t="s">
        <v>862</v>
      </c>
      <c r="AC48" s="9"/>
    </row>
    <row r="49" spans="1:29" ht="12.75">
      <c r="A49" s="9">
        <f t="shared" si="33"/>
        <v>413.4146341463414</v>
      </c>
      <c r="B49" s="9">
        <v>113</v>
      </c>
      <c r="C49" s="2">
        <f t="shared" si="34"/>
        <v>3.9859577178776515</v>
      </c>
      <c r="D49" s="2">
        <f t="shared" si="35"/>
        <v>0.24912235736735322</v>
      </c>
      <c r="E49" s="11" t="s">
        <v>1274</v>
      </c>
      <c r="F49" s="9">
        <v>41</v>
      </c>
      <c r="G49">
        <v>150</v>
      </c>
      <c r="H49">
        <v>0</v>
      </c>
      <c r="I49" s="10">
        <v>0</v>
      </c>
      <c r="J49" s="6">
        <v>0</v>
      </c>
      <c r="K49" s="6">
        <v>37</v>
      </c>
      <c r="L49" s="6">
        <v>34</v>
      </c>
      <c r="M49" s="6">
        <v>0</v>
      </c>
      <c r="N49" s="6">
        <v>0</v>
      </c>
      <c r="O49" s="2">
        <f t="shared" si="36"/>
        <v>3.658536585365854</v>
      </c>
      <c r="P49" s="42">
        <f t="shared" si="37"/>
        <v>0</v>
      </c>
      <c r="Q49" s="9">
        <f t="shared" si="38"/>
        <v>0</v>
      </c>
      <c r="R49" s="29">
        <f t="shared" si="39"/>
        <v>0</v>
      </c>
      <c r="S49" s="29">
        <f t="shared" si="40"/>
        <v>98.66666666666667</v>
      </c>
      <c r="T49" s="42">
        <f t="shared" si="41"/>
        <v>0</v>
      </c>
      <c r="U49" s="44">
        <f t="shared" si="42"/>
        <v>2.7560975609756095</v>
      </c>
      <c r="V49" s="16">
        <f t="shared" si="43"/>
        <v>0</v>
      </c>
      <c r="W49" s="9">
        <f t="shared" si="44"/>
        <v>0</v>
      </c>
      <c r="X49" s="9">
        <f t="shared" si="45"/>
        <v>101.97560975609755</v>
      </c>
      <c r="Y49" s="9">
        <f t="shared" si="46"/>
        <v>0</v>
      </c>
      <c r="Z49">
        <f t="shared" si="47"/>
        <v>0</v>
      </c>
      <c r="AA49" s="2">
        <f t="shared" si="48"/>
        <v>0</v>
      </c>
      <c r="AB49" s="9" t="s">
        <v>2062</v>
      </c>
      <c r="AC49" s="9"/>
    </row>
    <row r="50" spans="1:29" ht="12.75">
      <c r="A50" s="9">
        <f t="shared" si="33"/>
        <v>404</v>
      </c>
      <c r="B50">
        <v>101</v>
      </c>
      <c r="C50" s="2">
        <f t="shared" si="34"/>
        <v>3.562670172616308</v>
      </c>
      <c r="D50" s="2">
        <f t="shared" si="35"/>
        <v>0.22266688578851926</v>
      </c>
      <c r="E50" s="11" t="s">
        <v>1678</v>
      </c>
      <c r="F50" s="9">
        <v>15</v>
      </c>
      <c r="G50">
        <v>60</v>
      </c>
      <c r="H50">
        <v>0</v>
      </c>
      <c r="I50" s="10">
        <v>0</v>
      </c>
      <c r="J50" s="6">
        <v>0</v>
      </c>
      <c r="K50" s="6">
        <v>14</v>
      </c>
      <c r="L50" s="6">
        <v>12</v>
      </c>
      <c r="M50" s="6">
        <v>0</v>
      </c>
      <c r="N50" s="6">
        <v>0</v>
      </c>
      <c r="O50" s="2">
        <f t="shared" si="36"/>
        <v>4</v>
      </c>
      <c r="P50" s="42">
        <f t="shared" si="37"/>
        <v>0</v>
      </c>
      <c r="Q50" s="9">
        <f t="shared" si="38"/>
        <v>0</v>
      </c>
      <c r="R50" s="29">
        <f t="shared" si="39"/>
        <v>0</v>
      </c>
      <c r="S50" s="29">
        <f t="shared" si="40"/>
        <v>93.33333333333333</v>
      </c>
      <c r="T50" s="42">
        <f t="shared" si="41"/>
        <v>0</v>
      </c>
      <c r="U50" s="44">
        <f t="shared" si="42"/>
        <v>6.733333333333333</v>
      </c>
      <c r="V50" s="16">
        <f t="shared" si="43"/>
        <v>0</v>
      </c>
      <c r="W50" s="9">
        <f t="shared" si="44"/>
        <v>0</v>
      </c>
      <c r="X50" s="9">
        <f t="shared" si="45"/>
        <v>94.26666666666667</v>
      </c>
      <c r="Y50" s="9">
        <f t="shared" si="46"/>
        <v>0</v>
      </c>
      <c r="Z50">
        <f t="shared" si="47"/>
        <v>0</v>
      </c>
      <c r="AA50" s="2">
        <f t="shared" si="48"/>
        <v>0</v>
      </c>
      <c r="AB50" s="9" t="s">
        <v>2062</v>
      </c>
      <c r="AC50" s="9"/>
    </row>
    <row r="51" spans="1:29" ht="12.75">
      <c r="A51" s="9">
        <f t="shared" si="33"/>
        <v>487.5</v>
      </c>
      <c r="B51">
        <f>130</f>
        <v>130</v>
      </c>
      <c r="C51" s="2">
        <f t="shared" si="34"/>
        <v>4.585615073664555</v>
      </c>
      <c r="D51" s="2">
        <f t="shared" si="35"/>
        <v>0.2866009421040347</v>
      </c>
      <c r="E51" s="11" t="s">
        <v>870</v>
      </c>
      <c r="F51" s="9">
        <v>16</v>
      </c>
      <c r="G51">
        <v>60</v>
      </c>
      <c r="H51">
        <v>0</v>
      </c>
      <c r="I51" s="10">
        <v>0</v>
      </c>
      <c r="J51" s="6">
        <v>0</v>
      </c>
      <c r="K51" s="6">
        <v>16</v>
      </c>
      <c r="L51" s="6">
        <v>10</v>
      </c>
      <c r="M51" s="6">
        <v>0</v>
      </c>
      <c r="N51" s="6">
        <v>0</v>
      </c>
      <c r="O51" s="2">
        <f t="shared" si="36"/>
        <v>3.75</v>
      </c>
      <c r="P51" s="42">
        <f t="shared" si="37"/>
        <v>0</v>
      </c>
      <c r="Q51" s="9">
        <f t="shared" si="38"/>
        <v>0</v>
      </c>
      <c r="R51" s="29">
        <f t="shared" si="39"/>
        <v>0</v>
      </c>
      <c r="S51" s="29">
        <f t="shared" si="40"/>
        <v>106.66666666666667</v>
      </c>
      <c r="T51" s="42">
        <f t="shared" si="41"/>
        <v>0</v>
      </c>
      <c r="U51" s="44">
        <f t="shared" si="42"/>
        <v>8.125</v>
      </c>
      <c r="V51" s="16">
        <f t="shared" si="43"/>
        <v>0</v>
      </c>
      <c r="W51" s="9">
        <f t="shared" si="44"/>
        <v>0</v>
      </c>
      <c r="X51" s="9">
        <f t="shared" si="45"/>
        <v>130</v>
      </c>
      <c r="Y51" s="9">
        <f t="shared" si="46"/>
        <v>0</v>
      </c>
      <c r="Z51">
        <f t="shared" si="47"/>
        <v>0</v>
      </c>
      <c r="AA51" s="2">
        <f t="shared" si="48"/>
        <v>0</v>
      </c>
      <c r="AB51" s="9" t="s">
        <v>2062</v>
      </c>
      <c r="AC51" s="9"/>
    </row>
    <row r="52" spans="1:29" ht="12.75">
      <c r="A52" s="9">
        <v>240</v>
      </c>
      <c r="B52" s="9">
        <f>C52*28.349523</f>
        <v>907.184736</v>
      </c>
      <c r="C52" s="2">
        <v>32</v>
      </c>
      <c r="D52" s="2">
        <f t="shared" si="35"/>
        <v>2</v>
      </c>
      <c r="E52" s="11" t="s">
        <v>434</v>
      </c>
      <c r="G52" s="6"/>
      <c r="I52" s="10"/>
      <c r="O52" s="2"/>
      <c r="P52" s="42"/>
      <c r="Q52" s="29"/>
      <c r="R52" s="29"/>
      <c r="S52" s="16"/>
      <c r="T52" s="9"/>
      <c r="U52" s="44"/>
      <c r="V52" s="9">
        <v>0</v>
      </c>
      <c r="W52" s="9">
        <v>0</v>
      </c>
      <c r="X52" s="9">
        <v>127.2</v>
      </c>
      <c r="Y52" s="9">
        <v>0</v>
      </c>
      <c r="Z52" s="9">
        <v>0</v>
      </c>
      <c r="AA52" s="2">
        <v>0</v>
      </c>
      <c r="AC52" s="9"/>
    </row>
    <row r="53" spans="1:29" ht="12.75">
      <c r="A53" s="9">
        <f>G53*U53</f>
        <v>390</v>
      </c>
      <c r="B53">
        <v>104</v>
      </c>
      <c r="C53" s="2">
        <f>B53/28.349523</f>
        <v>3.668492058931644</v>
      </c>
      <c r="D53" s="2">
        <f t="shared" si="35"/>
        <v>0.22928075368322776</v>
      </c>
      <c r="E53" s="11" t="s">
        <v>395</v>
      </c>
      <c r="F53" s="9">
        <v>16</v>
      </c>
      <c r="G53">
        <v>60</v>
      </c>
      <c r="H53">
        <v>0</v>
      </c>
      <c r="I53" s="10">
        <v>0</v>
      </c>
      <c r="J53" s="6">
        <v>0</v>
      </c>
      <c r="K53" s="6">
        <v>15.9</v>
      </c>
      <c r="L53" s="6">
        <v>15</v>
      </c>
      <c r="M53" s="6">
        <v>0</v>
      </c>
      <c r="N53" s="6">
        <v>0</v>
      </c>
      <c r="O53" s="2">
        <f>G53/F53</f>
        <v>3.75</v>
      </c>
      <c r="P53" s="42">
        <f>100*4*M53/G53</f>
        <v>0</v>
      </c>
      <c r="Q53" s="9">
        <f>100*9*H53/G53</f>
        <v>0</v>
      </c>
      <c r="R53" s="29">
        <f>100*(I53*9)/G53</f>
        <v>0</v>
      </c>
      <c r="S53" s="29">
        <f>100*K53*4/G53</f>
        <v>106</v>
      </c>
      <c r="T53" s="42">
        <f>100*N53/F53</f>
        <v>0</v>
      </c>
      <c r="U53" s="44">
        <f>B53/F53</f>
        <v>6.5</v>
      </c>
      <c r="V53" s="16">
        <f>U53*M53</f>
        <v>0</v>
      </c>
      <c r="W53" s="9">
        <f>U53*H53</f>
        <v>0</v>
      </c>
      <c r="X53" s="141">
        <f>U53*K53</f>
        <v>103.35000000000001</v>
      </c>
      <c r="Y53" s="9">
        <f>N53*U53</f>
        <v>0</v>
      </c>
      <c r="Z53">
        <f>U53*J53</f>
        <v>0</v>
      </c>
      <c r="AA53" s="2">
        <f>I53*U53</f>
        <v>0</v>
      </c>
      <c r="AB53" s="9" t="s">
        <v>249</v>
      </c>
      <c r="AC53" s="9"/>
    </row>
    <row r="54" spans="1:29" ht="12.75">
      <c r="A54" s="9">
        <f>G54*U54</f>
        <v>317.6470588235294</v>
      </c>
      <c r="B54">
        <v>90</v>
      </c>
      <c r="C54" s="2">
        <f>B54/28.349523</f>
        <v>3.1746565894600765</v>
      </c>
      <c r="D54" s="2">
        <f t="shared" si="35"/>
        <v>0.19841603684125478</v>
      </c>
      <c r="E54" s="11" t="s">
        <v>1628</v>
      </c>
      <c r="F54" s="9">
        <v>17</v>
      </c>
      <c r="G54">
        <v>60</v>
      </c>
      <c r="H54">
        <v>0</v>
      </c>
      <c r="I54" s="10">
        <v>0</v>
      </c>
      <c r="J54" s="6">
        <v>0</v>
      </c>
      <c r="K54" s="6">
        <v>15.9</v>
      </c>
      <c r="L54" s="6">
        <v>16</v>
      </c>
      <c r="M54" s="6">
        <v>0</v>
      </c>
      <c r="N54" s="6">
        <v>0</v>
      </c>
      <c r="O54" s="2">
        <f>G54/F54</f>
        <v>3.5294117647058822</v>
      </c>
      <c r="P54" s="42">
        <f>100*4*M54/G54</f>
        <v>0</v>
      </c>
      <c r="Q54" s="9">
        <f>100*9*H54/G54</f>
        <v>0</v>
      </c>
      <c r="R54" s="29">
        <f>100*(I54*9)/G54</f>
        <v>0</v>
      </c>
      <c r="S54" s="29">
        <f>100*K54*4/G54</f>
        <v>106</v>
      </c>
      <c r="T54" s="42">
        <f>100*N54/F54</f>
        <v>0</v>
      </c>
      <c r="U54" s="44">
        <f>B54/F54</f>
        <v>5.294117647058823</v>
      </c>
      <c r="V54" s="16">
        <f>U54*M54</f>
        <v>0</v>
      </c>
      <c r="W54" s="9">
        <f>U54*H54</f>
        <v>0</v>
      </c>
      <c r="X54" s="141">
        <f>U54*K54</f>
        <v>84.17647058823529</v>
      </c>
      <c r="Y54" s="9">
        <f>N54*U54</f>
        <v>0</v>
      </c>
      <c r="Z54">
        <f>U54*J54</f>
        <v>0</v>
      </c>
      <c r="AA54" s="2">
        <f>I54*U54</f>
        <v>0</v>
      </c>
      <c r="AB54" s="9" t="s">
        <v>249</v>
      </c>
      <c r="AC54" s="9"/>
    </row>
    <row r="55" spans="1:29" ht="12.75">
      <c r="A55" s="9">
        <f>G55*U55</f>
        <v>1178</v>
      </c>
      <c r="B55">
        <f>66+60+60</f>
        <v>186</v>
      </c>
      <c r="C55" s="2">
        <f>B55/28.349523</f>
        <v>6.560956951550825</v>
      </c>
      <c r="D55" s="2">
        <f t="shared" si="35"/>
        <v>0.41005980947192655</v>
      </c>
      <c r="E55" s="11" t="s">
        <v>1848</v>
      </c>
      <c r="F55" s="9">
        <v>30</v>
      </c>
      <c r="G55">
        <v>190</v>
      </c>
      <c r="H55">
        <v>15</v>
      </c>
      <c r="I55" s="10">
        <v>4</v>
      </c>
      <c r="J55">
        <v>0</v>
      </c>
      <c r="K55">
        <v>9</v>
      </c>
      <c r="L55">
        <v>1</v>
      </c>
      <c r="M55">
        <v>4</v>
      </c>
      <c r="N55">
        <v>4</v>
      </c>
      <c r="O55" s="32">
        <f>G55/F55</f>
        <v>6.333333333333333</v>
      </c>
      <c r="P55" s="42">
        <f>100*4*M55/G55</f>
        <v>8.421052631578947</v>
      </c>
      <c r="Q55" s="29">
        <f>100*9*H55/G55</f>
        <v>71.05263157894737</v>
      </c>
      <c r="R55" s="42">
        <f>100*(I55*9)/G55</f>
        <v>18.94736842105263</v>
      </c>
      <c r="S55" s="16">
        <f>100*K55*4/G55</f>
        <v>18.94736842105263</v>
      </c>
      <c r="T55" s="29">
        <f>100*N55/F55</f>
        <v>13.333333333333334</v>
      </c>
      <c r="U55" s="44">
        <f>B55/F55</f>
        <v>6.2</v>
      </c>
      <c r="V55" s="9">
        <f>U55*M55</f>
        <v>24.8</v>
      </c>
      <c r="W55" s="9">
        <f>U55*H55</f>
        <v>93</v>
      </c>
      <c r="X55" s="9">
        <f>U55*K55</f>
        <v>55.800000000000004</v>
      </c>
      <c r="Y55" s="9">
        <f>N55*U55</f>
        <v>24.8</v>
      </c>
      <c r="Z55">
        <f>U55*J55</f>
        <v>0</v>
      </c>
      <c r="AA55" s="2">
        <f>I55*U55</f>
        <v>24.8</v>
      </c>
      <c r="AB55" s="9" t="s">
        <v>1593</v>
      </c>
      <c r="AC55" s="9"/>
    </row>
    <row r="56" spans="1:27" ht="12.75">
      <c r="A56" s="9">
        <f>SUM(A37:A55)</f>
        <v>11064.228359636538</v>
      </c>
      <c r="B56" s="9">
        <f>SUM(B37:B55)</f>
        <v>3361.184736</v>
      </c>
      <c r="C56" s="9">
        <f>B56/28.349523</f>
        <v>118.56230300594476</v>
      </c>
      <c r="D56" s="2">
        <f t="shared" si="35"/>
        <v>7.410143937871547</v>
      </c>
      <c r="E56" s="11" t="s">
        <v>1507</v>
      </c>
      <c r="J56" s="3"/>
      <c r="K56" s="3"/>
      <c r="L56" s="3"/>
      <c r="M56" s="9"/>
      <c r="O56" s="3"/>
      <c r="V56" s="144">
        <f aca="true" t="shared" si="49" ref="V56:AA56">SUM(V37:V55)</f>
        <v>405.06666666666666</v>
      </c>
      <c r="W56" s="144">
        <f t="shared" si="49"/>
        <v>457.83333333333337</v>
      </c>
      <c r="X56" s="144">
        <f t="shared" si="49"/>
        <v>1483.0687470109995</v>
      </c>
      <c r="Y56" s="9">
        <f t="shared" si="49"/>
        <v>99.39999999999999</v>
      </c>
      <c r="Z56" s="144">
        <f t="shared" si="49"/>
        <v>49</v>
      </c>
      <c r="AA56" s="9">
        <f t="shared" si="49"/>
        <v>114.88333333333334</v>
      </c>
    </row>
    <row r="57" spans="3:28" ht="12.75">
      <c r="C57" s="2"/>
      <c r="D57" s="2"/>
      <c r="E57" s="12"/>
      <c r="F57">
        <v>2.9</v>
      </c>
      <c r="G57" t="s">
        <v>534</v>
      </c>
      <c r="I57" s="143">
        <f>A56/F57</f>
        <v>3815.251158495358</v>
      </c>
      <c r="J57" t="s">
        <v>536</v>
      </c>
      <c r="L57" s="144">
        <f>V56/F57</f>
        <v>139.67816091954023</v>
      </c>
      <c r="M57" s="33" t="s">
        <v>1675</v>
      </c>
      <c r="P57">
        <f>Y56/F57</f>
        <v>34.275862068965516</v>
      </c>
      <c r="Q57" s="33" t="s">
        <v>1676</v>
      </c>
      <c r="V57" s="35">
        <f>4*V56</f>
        <v>1620.2666666666667</v>
      </c>
      <c r="W57" s="48">
        <f>9*W56</f>
        <v>4120.5</v>
      </c>
      <c r="X57" s="146">
        <f>4*X56</f>
        <v>5932.274988043998</v>
      </c>
      <c r="AA57" s="35">
        <f>9*AA56</f>
        <v>1033.95</v>
      </c>
      <c r="AB57" t="s">
        <v>697</v>
      </c>
    </row>
    <row r="58" spans="2:28" ht="12.75">
      <c r="B58" s="9"/>
      <c r="C58" s="2"/>
      <c r="D58" s="2"/>
      <c r="E58" s="11"/>
      <c r="L58" s="109">
        <f>Z56/F57</f>
        <v>16.896551724137932</v>
      </c>
      <c r="M58" s="33" t="s">
        <v>605</v>
      </c>
      <c r="R58" s="144">
        <f>AA56/F57</f>
        <v>39.61494252873563</v>
      </c>
      <c r="S58" s="33" t="s">
        <v>1677</v>
      </c>
      <c r="V58" s="9">
        <f>V57*100/A56</f>
        <v>14.644190394493021</v>
      </c>
      <c r="W58" s="9">
        <f>100*W57/A56</f>
        <v>37.24163914613345</v>
      </c>
      <c r="X58" s="9">
        <f>X57*100/A56</f>
        <v>53.61670778312527</v>
      </c>
      <c r="Y58" s="145">
        <f>100*Y56/A56</f>
        <v>0.898390712565384</v>
      </c>
      <c r="AA58" s="2">
        <f>100*AA57/A56</f>
        <v>9.344980656508842</v>
      </c>
      <c r="AB58" t="s">
        <v>1786</v>
      </c>
    </row>
    <row r="59" spans="2:11" ht="12.75">
      <c r="B59" s="9"/>
      <c r="C59" s="2"/>
      <c r="D59" s="2"/>
      <c r="E59" s="12"/>
      <c r="K59" s="33" t="s">
        <v>587</v>
      </c>
    </row>
    <row r="60" spans="1:12" ht="12.75">
      <c r="A60" s="93">
        <f>F57*3800</f>
        <v>11020</v>
      </c>
      <c r="B60" s="93"/>
      <c r="C60" s="94"/>
      <c r="D60" s="94"/>
      <c r="E60" s="126" t="s">
        <v>1917</v>
      </c>
      <c r="L60" t="s">
        <v>602</v>
      </c>
    </row>
    <row r="61" spans="1:12" ht="12.75">
      <c r="A61" s="93">
        <f>A60-A56</f>
        <v>-44.22835963653779</v>
      </c>
      <c r="B61" s="93"/>
      <c r="C61" s="93"/>
      <c r="D61" s="92"/>
      <c r="E61" s="92" t="s">
        <v>1497</v>
      </c>
      <c r="L61" s="6" t="s">
        <v>600</v>
      </c>
    </row>
    <row r="62" ht="12.75">
      <c r="L62" t="s">
        <v>601</v>
      </c>
    </row>
    <row r="63" spans="2:12" ht="12.75">
      <c r="B63" s="9">
        <v>3645</v>
      </c>
      <c r="C63" s="9">
        <f>B63/28.349523</f>
        <v>128.5735918731331</v>
      </c>
      <c r="D63" s="2">
        <f>C63/16</f>
        <v>8.035849492070819</v>
      </c>
      <c r="E63" s="11" t="s">
        <v>50</v>
      </c>
      <c r="L63" s="27" t="s">
        <v>603</v>
      </c>
    </row>
    <row r="64" spans="2:29" ht="12.75">
      <c r="B64" s="9">
        <v>1071</v>
      </c>
      <c r="E64" s="11" t="s">
        <v>47</v>
      </c>
      <c r="F64" s="9"/>
      <c r="I64" s="10"/>
      <c r="J64" s="6"/>
      <c r="K64" s="6"/>
      <c r="L64" s="6"/>
      <c r="M64" s="6"/>
      <c r="N64" s="6"/>
      <c r="O64" s="2"/>
      <c r="P64" s="16"/>
      <c r="Q64" s="9"/>
      <c r="R64" s="29"/>
      <c r="S64" s="93"/>
      <c r="T64" s="92"/>
      <c r="U64" s="94"/>
      <c r="V64" s="92"/>
      <c r="W64" s="92"/>
      <c r="X64" s="93"/>
      <c r="Y64" s="93"/>
      <c r="AA64" s="2"/>
      <c r="AB64" s="173"/>
      <c r="AC64" s="9"/>
    </row>
    <row r="65" spans="2:29" ht="12.75">
      <c r="B65" s="9">
        <f>B63-B64+B52</f>
        <v>3481.184736</v>
      </c>
      <c r="C65" s="9">
        <f>B65/28.349523</f>
        <v>122.7951784585582</v>
      </c>
      <c r="D65" s="2">
        <f>C65/16</f>
        <v>7.674698653659887</v>
      </c>
      <c r="E65" s="11" t="s">
        <v>48</v>
      </c>
      <c r="F65" s="9"/>
      <c r="I65" s="10"/>
      <c r="J65" s="6"/>
      <c r="K65" s="6"/>
      <c r="L65" s="6"/>
      <c r="M65" s="6"/>
      <c r="N65" s="6"/>
      <c r="O65" s="2"/>
      <c r="P65" s="16"/>
      <c r="Q65" s="9"/>
      <c r="R65" s="42"/>
      <c r="S65" s="93"/>
      <c r="T65" s="93"/>
      <c r="U65" s="93"/>
      <c r="V65" s="94"/>
      <c r="W65" s="126"/>
      <c r="X65" s="93"/>
      <c r="Y65" s="93"/>
      <c r="AA65" s="2"/>
      <c r="AB65" s="8"/>
      <c r="AC65" s="9"/>
    </row>
    <row r="66" spans="2:29" ht="12.75">
      <c r="B66" s="9">
        <f>B65-B56</f>
        <v>120</v>
      </c>
      <c r="C66" s="9"/>
      <c r="D66" s="9"/>
      <c r="E66" s="152" t="s">
        <v>49</v>
      </c>
      <c r="F66" s="9"/>
      <c r="I66" s="10"/>
      <c r="J66" s="6"/>
      <c r="K66" s="6"/>
      <c r="L66" s="6"/>
      <c r="M66" s="6"/>
      <c r="N66" s="6"/>
      <c r="O66" s="2"/>
      <c r="P66" s="16"/>
      <c r="Q66" s="9"/>
      <c r="R66" s="16"/>
      <c r="S66" s="16"/>
      <c r="T66" s="42"/>
      <c r="U66" s="60"/>
      <c r="V66" s="9"/>
      <c r="W66" s="9"/>
      <c r="X66" s="9"/>
      <c r="Y66" s="9"/>
      <c r="AA66" s="2"/>
      <c r="AB66" s="9"/>
      <c r="AC66" s="9"/>
    </row>
    <row r="67" spans="1:29" ht="12.75">
      <c r="A67" s="9"/>
      <c r="B67" s="150"/>
      <c r="C67" s="2"/>
      <c r="D67" s="2"/>
      <c r="E67" s="152"/>
      <c r="F67" s="9"/>
      <c r="I67" s="10"/>
      <c r="O67" s="2"/>
      <c r="P67" s="9"/>
      <c r="Q67" s="42"/>
      <c r="R67" s="42"/>
      <c r="S67" s="29"/>
      <c r="T67" s="29"/>
      <c r="U67" s="60"/>
      <c r="V67" s="9"/>
      <c r="W67" s="9"/>
      <c r="X67" s="9"/>
      <c r="Y67" s="9"/>
      <c r="AA67" s="2"/>
      <c r="AB67" s="9"/>
      <c r="AC67" s="9"/>
    </row>
    <row r="68" spans="1:29" ht="12.75">
      <c r="A68" s="9"/>
      <c r="B68" s="9"/>
      <c r="C68" s="9"/>
      <c r="D68" s="2"/>
      <c r="E68" s="152"/>
      <c r="F68" s="9"/>
      <c r="I68" s="10"/>
      <c r="N68" s="109"/>
      <c r="O68" s="2"/>
      <c r="P68" s="9"/>
      <c r="Q68" s="9"/>
      <c r="R68" s="42"/>
      <c r="S68" s="46"/>
      <c r="T68" s="29"/>
      <c r="U68" s="60"/>
      <c r="V68" s="9"/>
      <c r="W68" s="9"/>
      <c r="X68" s="9"/>
      <c r="Y68" s="9"/>
      <c r="AA68" s="2"/>
      <c r="AB68" s="9"/>
      <c r="AC68" s="9"/>
    </row>
    <row r="69" spans="1:29" ht="12.75">
      <c r="A69" s="9"/>
      <c r="B69" s="9"/>
      <c r="C69" s="9"/>
      <c r="D69" s="2"/>
      <c r="E69" s="152"/>
      <c r="F69" s="9"/>
      <c r="I69" s="10"/>
      <c r="O69" s="2"/>
      <c r="P69" s="9"/>
      <c r="Q69" s="9"/>
      <c r="R69" s="16"/>
      <c r="S69" s="16"/>
      <c r="T69" s="9"/>
      <c r="U69" s="60"/>
      <c r="V69" s="9"/>
      <c r="W69" s="9"/>
      <c r="X69" s="9"/>
      <c r="Y69" s="9"/>
      <c r="AA69" s="2"/>
      <c r="AB69" s="9"/>
      <c r="AC69" s="9"/>
    </row>
    <row r="70" spans="1:29" ht="12.75">
      <c r="A70" s="9"/>
      <c r="C70" s="2"/>
      <c r="D70" s="2"/>
      <c r="E70" s="11"/>
      <c r="I70" s="10"/>
      <c r="O70" s="2"/>
      <c r="Q70" s="9"/>
      <c r="R70" s="16"/>
      <c r="S70" s="16"/>
      <c r="T70" s="16"/>
      <c r="U70" s="60"/>
      <c r="V70" s="16"/>
      <c r="W70" s="9"/>
      <c r="X70" s="9"/>
      <c r="Y70" s="16"/>
      <c r="AA70" s="2"/>
      <c r="AB70" s="10"/>
      <c r="AC70" s="9"/>
    </row>
    <row r="71" spans="1:29" ht="12.75">
      <c r="A71" s="9"/>
      <c r="C71" s="2"/>
      <c r="D71" s="2"/>
      <c r="E71" s="11"/>
      <c r="F71" s="9"/>
      <c r="I71" s="10"/>
      <c r="O71" s="2"/>
      <c r="Q71" s="9"/>
      <c r="R71" s="29"/>
      <c r="S71" s="16"/>
      <c r="T71" s="29"/>
      <c r="U71" s="60"/>
      <c r="V71" s="16"/>
      <c r="W71" s="9"/>
      <c r="X71" s="9"/>
      <c r="Y71" s="16"/>
      <c r="AA71" s="2"/>
      <c r="AB71" s="32"/>
      <c r="AC71" s="9"/>
    </row>
    <row r="72" spans="1:29" ht="12.75">
      <c r="A72" s="9"/>
      <c r="C72" s="2"/>
      <c r="D72" s="2"/>
      <c r="E72" s="11"/>
      <c r="F72" s="9"/>
      <c r="I72" s="10"/>
      <c r="O72" s="2"/>
      <c r="P72" s="29"/>
      <c r="Q72" s="9"/>
      <c r="R72" s="29"/>
      <c r="S72" s="16"/>
      <c r="T72" s="16"/>
      <c r="U72" s="60"/>
      <c r="V72" s="16"/>
      <c r="W72" s="9"/>
      <c r="X72" s="9"/>
      <c r="Y72" s="16"/>
      <c r="AA72" s="2"/>
      <c r="AB72" s="11"/>
      <c r="AC72" s="9"/>
    </row>
    <row r="73" spans="1:29" ht="12.75">
      <c r="A73" s="9"/>
      <c r="C73" s="2"/>
      <c r="D73" s="2"/>
      <c r="E73" s="11"/>
      <c r="F73" s="9"/>
      <c r="I73" s="10"/>
      <c r="O73" s="2"/>
      <c r="P73" s="29"/>
      <c r="Q73" s="9"/>
      <c r="R73" s="16"/>
      <c r="S73" s="16"/>
      <c r="T73" s="16"/>
      <c r="U73" s="60"/>
      <c r="V73" s="16"/>
      <c r="W73" s="9"/>
      <c r="X73" s="9"/>
      <c r="Y73" s="16"/>
      <c r="AA73" s="2"/>
      <c r="AB73" s="11"/>
      <c r="AC73" s="9"/>
    </row>
    <row r="74" spans="1:29" ht="12.75">
      <c r="A74" s="9"/>
      <c r="B74" s="6"/>
      <c r="C74" s="2"/>
      <c r="D74" s="2"/>
      <c r="E74" s="11"/>
      <c r="F74" s="9"/>
      <c r="I74" s="6"/>
      <c r="O74" s="2"/>
      <c r="P74" s="42"/>
      <c r="Q74" s="9"/>
      <c r="R74" s="16"/>
      <c r="S74" s="29"/>
      <c r="T74" s="42"/>
      <c r="U74" s="60"/>
      <c r="V74" s="9"/>
      <c r="W74" s="9"/>
      <c r="X74" s="9"/>
      <c r="Y74" s="16"/>
      <c r="AA74" s="2"/>
      <c r="AB74" s="9"/>
      <c r="AC74" s="9"/>
    </row>
    <row r="75" spans="1:29" ht="12.75">
      <c r="A75" s="9"/>
      <c r="C75" s="2"/>
      <c r="D75" s="2"/>
      <c r="E75" s="11"/>
      <c r="F75" s="9"/>
      <c r="I75" s="10"/>
      <c r="O75" s="2"/>
      <c r="P75" s="42"/>
      <c r="Q75" s="9"/>
      <c r="R75" s="42"/>
      <c r="S75" s="29"/>
      <c r="T75" s="42"/>
      <c r="U75" s="60"/>
      <c r="V75" s="9"/>
      <c r="W75" s="9"/>
      <c r="X75" s="9"/>
      <c r="Y75" s="9"/>
      <c r="AA75" s="2"/>
      <c r="AB75" s="9"/>
      <c r="AC75" s="9"/>
    </row>
    <row r="76" spans="1:29" ht="12.75">
      <c r="A76" s="9"/>
      <c r="C76" s="2"/>
      <c r="D76" s="2"/>
      <c r="E76" s="11"/>
      <c r="F76" s="9"/>
      <c r="I76" s="10"/>
      <c r="O76" s="2"/>
      <c r="P76" s="29"/>
      <c r="Q76" s="9"/>
      <c r="R76" s="29"/>
      <c r="S76" s="16"/>
      <c r="T76" s="9"/>
      <c r="U76" s="60"/>
      <c r="V76" s="16"/>
      <c r="W76" s="9"/>
      <c r="X76" s="9"/>
      <c r="Y76" s="16"/>
      <c r="AA76" s="2"/>
      <c r="AB76" s="11"/>
      <c r="AC76" s="9"/>
    </row>
    <row r="77" spans="1:29" ht="12.75">
      <c r="A77" s="9"/>
      <c r="C77" s="2"/>
      <c r="D77" s="2"/>
      <c r="E77" s="11"/>
      <c r="F77" s="9"/>
      <c r="I77" s="10"/>
      <c r="O77" s="2"/>
      <c r="P77" s="16"/>
      <c r="Q77" s="9"/>
      <c r="R77" s="29"/>
      <c r="S77" s="16"/>
      <c r="T77" s="9"/>
      <c r="U77" s="60"/>
      <c r="V77" s="16"/>
      <c r="W77" s="9"/>
      <c r="X77" s="9"/>
      <c r="Y77" s="16"/>
      <c r="AA77" s="2"/>
      <c r="AB77" s="11"/>
      <c r="AC77" s="9"/>
    </row>
    <row r="78" spans="1:29" ht="12.75">
      <c r="A78" s="9"/>
      <c r="C78" s="2"/>
      <c r="D78" s="2"/>
      <c r="E78" s="11"/>
      <c r="F78" s="9"/>
      <c r="I78" s="10"/>
      <c r="O78" s="2"/>
      <c r="P78" s="29"/>
      <c r="Q78" s="9"/>
      <c r="R78" s="16"/>
      <c r="S78" s="16"/>
      <c r="T78" s="9"/>
      <c r="U78" s="60"/>
      <c r="V78" s="9"/>
      <c r="W78" s="9"/>
      <c r="X78" s="9"/>
      <c r="Y78" s="9"/>
      <c r="AA78" s="2"/>
      <c r="AB78" s="9"/>
      <c r="AC78" s="9"/>
    </row>
    <row r="79" spans="1:29" ht="12.75">
      <c r="A79" s="9"/>
      <c r="C79" s="2"/>
      <c r="D79" s="2"/>
      <c r="E79" s="11"/>
      <c r="F79" s="9"/>
      <c r="I79" s="10"/>
      <c r="O79" s="2"/>
      <c r="P79" s="29"/>
      <c r="Q79" s="9"/>
      <c r="R79" s="16"/>
      <c r="S79" s="16"/>
      <c r="T79" s="29"/>
      <c r="U79" s="60"/>
      <c r="V79" s="9"/>
      <c r="W79" s="9"/>
      <c r="X79" s="9"/>
      <c r="Y79" s="9"/>
      <c r="AA79" s="2"/>
      <c r="AB79" s="9"/>
      <c r="AC79" s="9"/>
    </row>
    <row r="80" spans="1:29" ht="12.75">
      <c r="A80" s="9"/>
      <c r="C80" s="2"/>
      <c r="D80" s="2"/>
      <c r="E80" s="11"/>
      <c r="F80" s="9"/>
      <c r="I80" s="10"/>
      <c r="O80" s="2"/>
      <c r="P80" s="42"/>
      <c r="Q80" s="9"/>
      <c r="R80" s="16"/>
      <c r="S80" s="16"/>
      <c r="T80" s="9"/>
      <c r="U80" s="60"/>
      <c r="V80" s="9"/>
      <c r="W80" s="9"/>
      <c r="X80" s="9"/>
      <c r="Y80" s="9"/>
      <c r="AA80" s="2"/>
      <c r="AB80" s="9"/>
      <c r="AC80" s="9"/>
    </row>
    <row r="81" spans="1:29" ht="12.75">
      <c r="A81" s="9"/>
      <c r="C81" s="2"/>
      <c r="D81" s="2"/>
      <c r="E81" s="11"/>
      <c r="F81" s="9"/>
      <c r="I81" s="10"/>
      <c r="O81" s="2"/>
      <c r="P81" s="42"/>
      <c r="Q81" s="9"/>
      <c r="R81" s="16"/>
      <c r="S81" s="16"/>
      <c r="T81" s="9"/>
      <c r="U81" s="60"/>
      <c r="V81" s="9"/>
      <c r="W81" s="9"/>
      <c r="X81" s="9"/>
      <c r="Y81" s="9"/>
      <c r="AA81" s="2"/>
      <c r="AB81" s="9"/>
      <c r="AC81" s="9"/>
    </row>
    <row r="82" spans="1:29" ht="12.75">
      <c r="A82" s="9"/>
      <c r="C82" s="2"/>
      <c r="D82" s="2"/>
      <c r="E82" s="11"/>
      <c r="F82" s="9"/>
      <c r="G82" s="33"/>
      <c r="I82" s="44"/>
      <c r="O82" s="2"/>
      <c r="P82" s="42"/>
      <c r="Q82" s="29"/>
      <c r="R82" s="29"/>
      <c r="S82" s="16"/>
      <c r="T82" s="9"/>
      <c r="U82" s="60"/>
      <c r="V82" s="9"/>
      <c r="W82" s="9"/>
      <c r="X82" s="9"/>
      <c r="Y82" s="9"/>
      <c r="AA82" s="2"/>
      <c r="AC82" s="9"/>
    </row>
    <row r="83" spans="1:29" ht="12.75">
      <c r="A83" s="9"/>
      <c r="C83" s="2"/>
      <c r="D83" s="2"/>
      <c r="E83" s="11"/>
      <c r="F83" s="9"/>
      <c r="G83" s="33"/>
      <c r="I83" s="10"/>
      <c r="O83" s="2"/>
      <c r="P83" s="42"/>
      <c r="Q83" s="9"/>
      <c r="R83" s="29"/>
      <c r="S83" s="16"/>
      <c r="T83" s="9"/>
      <c r="U83" s="60"/>
      <c r="V83" s="9"/>
      <c r="W83" s="9"/>
      <c r="X83" s="9"/>
      <c r="Y83" s="9"/>
      <c r="AA83" s="2"/>
      <c r="AC83" s="9"/>
    </row>
    <row r="84" spans="1:29" ht="12.75">
      <c r="A84" s="9"/>
      <c r="C84" s="2"/>
      <c r="D84" s="2"/>
      <c r="E84" s="11"/>
      <c r="F84" s="9"/>
      <c r="I84" s="10"/>
      <c r="O84" s="2"/>
      <c r="P84" s="42"/>
      <c r="Q84" s="9"/>
      <c r="R84" s="29"/>
      <c r="S84" s="16"/>
      <c r="T84" s="42"/>
      <c r="U84" s="60"/>
      <c r="V84" s="9"/>
      <c r="W84" s="9"/>
      <c r="X84" s="9"/>
      <c r="Y84" s="9"/>
      <c r="AA84" s="2"/>
      <c r="AC84" s="9"/>
    </row>
    <row r="85" spans="1:29" ht="12.75">
      <c r="A85" s="9"/>
      <c r="C85" s="2"/>
      <c r="D85" s="2"/>
      <c r="E85" s="11"/>
      <c r="F85" s="9"/>
      <c r="I85" s="16"/>
      <c r="O85" s="32"/>
      <c r="P85" s="42"/>
      <c r="Q85" s="9"/>
      <c r="R85" s="29"/>
      <c r="S85" s="16"/>
      <c r="T85" s="42"/>
      <c r="U85" s="60"/>
      <c r="V85" s="9"/>
      <c r="W85" s="9"/>
      <c r="X85" s="9"/>
      <c r="Y85" s="9"/>
      <c r="AA85" s="2"/>
      <c r="AC85" s="9"/>
    </row>
    <row r="86" spans="1:29" ht="12.75">
      <c r="A86" s="9"/>
      <c r="C86" s="2"/>
      <c r="D86" s="2"/>
      <c r="E86" s="11"/>
      <c r="F86" s="9"/>
      <c r="I86" s="10"/>
      <c r="O86" s="2"/>
      <c r="P86" s="42"/>
      <c r="Q86" s="9"/>
      <c r="R86" s="29"/>
      <c r="S86" s="16"/>
      <c r="T86" s="42"/>
      <c r="U86" s="60"/>
      <c r="V86" s="9"/>
      <c r="W86" s="9"/>
      <c r="X86" s="9"/>
      <c r="Y86" s="9"/>
      <c r="AA86" s="2"/>
      <c r="AC86" s="9"/>
    </row>
    <row r="87" spans="1:29" ht="12.75">
      <c r="A87" s="9"/>
      <c r="C87" s="2"/>
      <c r="D87" s="2"/>
      <c r="E87" s="11"/>
      <c r="F87" s="9"/>
      <c r="I87" s="44"/>
      <c r="O87" s="2"/>
      <c r="P87" s="42"/>
      <c r="Q87" s="9"/>
      <c r="R87" s="29"/>
      <c r="S87" s="16"/>
      <c r="T87" s="9"/>
      <c r="U87" s="60"/>
      <c r="V87" s="9"/>
      <c r="W87" s="9"/>
      <c r="X87" s="9"/>
      <c r="Y87" s="9"/>
      <c r="AA87" s="2"/>
      <c r="AC87" s="9"/>
    </row>
    <row r="88" spans="1:29" ht="12.75">
      <c r="A88" s="9"/>
      <c r="C88" s="2"/>
      <c r="D88" s="2"/>
      <c r="E88" s="11"/>
      <c r="F88" s="9"/>
      <c r="I88" s="10"/>
      <c r="O88" s="2"/>
      <c r="P88" s="9"/>
      <c r="Q88" s="29"/>
      <c r="R88" s="42"/>
      <c r="S88" s="16"/>
      <c r="T88" s="29"/>
      <c r="U88" s="60"/>
      <c r="V88" s="9"/>
      <c r="W88" s="9"/>
      <c r="X88" s="9"/>
      <c r="Y88" s="9"/>
      <c r="AA88" s="2"/>
      <c r="AB88" s="9"/>
      <c r="AC88" s="9"/>
    </row>
    <row r="89" spans="1:29" ht="12.75">
      <c r="A89" s="9"/>
      <c r="C89" s="2"/>
      <c r="D89" s="2"/>
      <c r="E89" s="11"/>
      <c r="F89" s="9"/>
      <c r="I89" s="10"/>
      <c r="O89" s="2"/>
      <c r="P89" s="9"/>
      <c r="Q89" s="29"/>
      <c r="R89" s="42"/>
      <c r="S89" s="16"/>
      <c r="T89" s="29"/>
      <c r="U89" s="60"/>
      <c r="V89" s="9"/>
      <c r="W89" s="9"/>
      <c r="X89" s="9"/>
      <c r="Y89" s="9"/>
      <c r="AA89" s="2"/>
      <c r="AB89" s="9"/>
      <c r="AC89" s="9"/>
    </row>
    <row r="90" spans="1:29" ht="12.75">
      <c r="A90" s="9"/>
      <c r="C90" s="2"/>
      <c r="D90" s="2"/>
      <c r="E90" s="11"/>
      <c r="F90" s="9"/>
      <c r="I90" s="10"/>
      <c r="O90" s="2"/>
      <c r="P90" s="9"/>
      <c r="Q90" s="29"/>
      <c r="R90" s="42"/>
      <c r="S90" s="16"/>
      <c r="T90" s="29"/>
      <c r="U90" s="60"/>
      <c r="V90" s="9"/>
      <c r="W90" s="9"/>
      <c r="X90" s="9"/>
      <c r="Y90" s="9"/>
      <c r="AA90" s="2"/>
      <c r="AB90" s="9"/>
      <c r="AC90" s="9"/>
    </row>
    <row r="91" spans="1:29" ht="12.75">
      <c r="A91" s="9"/>
      <c r="C91" s="2"/>
      <c r="D91" s="2"/>
      <c r="E91" s="11"/>
      <c r="F91" s="9"/>
      <c r="I91" s="10"/>
      <c r="O91" s="10"/>
      <c r="P91" s="9"/>
      <c r="Q91" s="29"/>
      <c r="R91" s="16"/>
      <c r="S91" s="16"/>
      <c r="T91" s="16"/>
      <c r="U91" s="60"/>
      <c r="V91" s="9"/>
      <c r="W91" s="9"/>
      <c r="X91" s="9"/>
      <c r="Y91" s="9"/>
      <c r="Z91" s="9"/>
      <c r="AA91" s="2"/>
      <c r="AB91" s="9"/>
      <c r="AC91" s="9"/>
    </row>
    <row r="92" spans="1:29" ht="12.75">
      <c r="A92" s="9"/>
      <c r="B92" s="9"/>
      <c r="C92" s="2"/>
      <c r="D92" s="2"/>
      <c r="E92" s="11"/>
      <c r="F92" s="9"/>
      <c r="I92" s="10"/>
      <c r="O92" s="10"/>
      <c r="P92" s="42"/>
      <c r="Q92" s="16"/>
      <c r="R92" s="29"/>
      <c r="S92" s="16"/>
      <c r="T92" s="16"/>
      <c r="U92" s="60"/>
      <c r="V92" s="16"/>
      <c r="W92" s="9"/>
      <c r="X92" s="9"/>
      <c r="Y92" s="16"/>
      <c r="AA92" s="2"/>
      <c r="AB92" s="9"/>
      <c r="AC92" s="9"/>
    </row>
    <row r="93" spans="1:29" ht="12.75">
      <c r="A93" s="9"/>
      <c r="B93" s="9"/>
      <c r="C93" s="2"/>
      <c r="D93" s="2"/>
      <c r="E93" s="11"/>
      <c r="F93" s="9"/>
      <c r="I93" s="10"/>
      <c r="O93" s="10"/>
      <c r="P93" s="42"/>
      <c r="Q93" s="16"/>
      <c r="R93" s="29"/>
      <c r="S93" s="16"/>
      <c r="T93" s="16"/>
      <c r="U93" s="60"/>
      <c r="V93" s="16"/>
      <c r="W93" s="9"/>
      <c r="X93" s="9"/>
      <c r="Y93" s="16"/>
      <c r="AA93" s="2"/>
      <c r="AB93" s="9"/>
      <c r="AC93" s="9"/>
    </row>
    <row r="94" spans="1:29" ht="12.75">
      <c r="A94" s="9"/>
      <c r="B94" s="9"/>
      <c r="C94" s="2"/>
      <c r="D94" s="2"/>
      <c r="E94" s="11"/>
      <c r="F94" s="9"/>
      <c r="I94" s="10"/>
      <c r="O94" s="10"/>
      <c r="P94" s="42"/>
      <c r="Q94" s="16"/>
      <c r="R94" s="29"/>
      <c r="S94" s="16"/>
      <c r="T94" s="16"/>
      <c r="U94" s="60"/>
      <c r="V94" s="16"/>
      <c r="W94" s="9"/>
      <c r="X94" s="9"/>
      <c r="Y94" s="16"/>
      <c r="AA94" s="2"/>
      <c r="AB94" s="9"/>
      <c r="AC94" s="9"/>
    </row>
    <row r="95" spans="1:29" ht="12.75">
      <c r="A95" s="9"/>
      <c r="B95" s="9"/>
      <c r="C95" s="2"/>
      <c r="D95" s="2"/>
      <c r="E95" s="11"/>
      <c r="F95" s="9"/>
      <c r="I95" s="10"/>
      <c r="O95" s="10"/>
      <c r="P95" s="42"/>
      <c r="Q95" s="16"/>
      <c r="R95" s="16"/>
      <c r="S95" s="16"/>
      <c r="T95" s="16"/>
      <c r="U95" s="60"/>
      <c r="V95" s="16"/>
      <c r="W95" s="9"/>
      <c r="X95" s="9"/>
      <c r="Y95" s="16"/>
      <c r="AA95" s="2"/>
      <c r="AB95" s="9"/>
      <c r="AC95" s="9"/>
    </row>
    <row r="96" spans="1:29" ht="12.75">
      <c r="A96" s="9"/>
      <c r="C96" s="2"/>
      <c r="D96" s="2"/>
      <c r="E96" s="11"/>
      <c r="F96" s="9"/>
      <c r="I96" s="10"/>
      <c r="O96" s="32"/>
      <c r="P96" s="9"/>
      <c r="Q96" s="29"/>
      <c r="R96" s="29"/>
      <c r="S96" s="16"/>
      <c r="T96" s="9"/>
      <c r="U96" s="60"/>
      <c r="V96" s="9"/>
      <c r="W96" s="9"/>
      <c r="X96" s="9"/>
      <c r="Y96" s="9"/>
      <c r="AA96" s="2"/>
      <c r="AC96" s="9"/>
    </row>
    <row r="97" spans="1:29" ht="12.75">
      <c r="A97" s="9"/>
      <c r="C97" s="2"/>
      <c r="D97" s="2"/>
      <c r="E97" s="11"/>
      <c r="F97" s="9"/>
      <c r="I97" s="10"/>
      <c r="O97" s="32"/>
      <c r="P97" s="42"/>
      <c r="Q97" s="29"/>
      <c r="R97" s="29"/>
      <c r="S97" s="16"/>
      <c r="T97" s="29"/>
      <c r="U97" s="60"/>
      <c r="V97" s="9"/>
      <c r="W97" s="9"/>
      <c r="X97" s="9"/>
      <c r="Y97" s="9"/>
      <c r="AA97" s="2"/>
      <c r="AB97" s="9"/>
      <c r="AC97" s="9"/>
    </row>
    <row r="98" spans="1:29" ht="12.75">
      <c r="A98" s="9"/>
      <c r="C98" s="2"/>
      <c r="D98" s="2"/>
      <c r="E98" s="11"/>
      <c r="F98" s="9"/>
      <c r="I98" s="10"/>
      <c r="O98" s="32"/>
      <c r="P98" s="42"/>
      <c r="Q98" s="29"/>
      <c r="R98" s="16"/>
      <c r="S98" s="16"/>
      <c r="T98" s="9"/>
      <c r="U98" s="60"/>
      <c r="V98" s="9"/>
      <c r="W98" s="9"/>
      <c r="X98" s="9"/>
      <c r="Y98" s="9"/>
      <c r="AA98" s="2"/>
      <c r="AB98" s="9"/>
      <c r="AC98" s="9"/>
    </row>
    <row r="99" spans="1:27" ht="12.75">
      <c r="A99" s="9"/>
      <c r="B99" s="12"/>
      <c r="C99" s="2"/>
      <c r="D99" s="2"/>
      <c r="E99" s="11"/>
      <c r="F99" s="9"/>
      <c r="I99" s="10"/>
      <c r="O99" s="32"/>
      <c r="P99" s="42"/>
      <c r="Q99" s="29"/>
      <c r="R99" s="16"/>
      <c r="S99" s="16"/>
      <c r="T99" s="9"/>
      <c r="U99" s="60"/>
      <c r="V99" s="9"/>
      <c r="W99" s="9"/>
      <c r="X99" s="9"/>
      <c r="Y99" s="9"/>
      <c r="AA99" s="2"/>
    </row>
    <row r="100" spans="1:27" ht="12.75">
      <c r="A100" s="9"/>
      <c r="B100" s="12"/>
      <c r="C100" s="2"/>
      <c r="D100" s="2"/>
      <c r="E100" s="11"/>
      <c r="F100" s="9"/>
      <c r="I100" s="10"/>
      <c r="O100" s="32"/>
      <c r="P100" s="42"/>
      <c r="Q100" s="29"/>
      <c r="R100" s="16"/>
      <c r="S100" s="16"/>
      <c r="T100" s="9"/>
      <c r="U100" s="60"/>
      <c r="V100" s="9"/>
      <c r="W100" s="9"/>
      <c r="X100" s="9"/>
      <c r="Y100" s="9"/>
      <c r="AA100" s="2"/>
    </row>
    <row r="101" spans="1:29" ht="12.75">
      <c r="A101" s="9"/>
      <c r="C101" s="2"/>
      <c r="D101" s="2"/>
      <c r="E101" s="11"/>
      <c r="F101" s="9"/>
      <c r="I101" s="10"/>
      <c r="O101" s="32"/>
      <c r="P101" s="42"/>
      <c r="Q101" s="29"/>
      <c r="R101" s="16"/>
      <c r="S101" s="16"/>
      <c r="T101" s="9"/>
      <c r="U101" s="60"/>
      <c r="V101" s="9"/>
      <c r="W101" s="9"/>
      <c r="X101" s="9"/>
      <c r="Y101" s="9"/>
      <c r="AA101" s="2"/>
      <c r="AB101" s="9"/>
      <c r="AC101" s="9"/>
    </row>
    <row r="102" spans="1:29" ht="12.75">
      <c r="A102" s="9"/>
      <c r="C102" s="2"/>
      <c r="D102" s="2"/>
      <c r="E102" s="11"/>
      <c r="F102" s="9"/>
      <c r="I102" s="10"/>
      <c r="O102" s="32"/>
      <c r="P102" s="42"/>
      <c r="Q102" s="29"/>
      <c r="R102" s="16"/>
      <c r="S102" s="16"/>
      <c r="T102" s="9"/>
      <c r="U102" s="60"/>
      <c r="V102" s="9"/>
      <c r="W102" s="9"/>
      <c r="X102" s="9"/>
      <c r="Y102" s="9"/>
      <c r="AA102" s="2"/>
      <c r="AB102" s="9"/>
      <c r="AC102" s="9"/>
    </row>
    <row r="103" spans="1:29" ht="12.75">
      <c r="A103" s="9"/>
      <c r="C103" s="2"/>
      <c r="D103" s="2"/>
      <c r="E103" s="11"/>
      <c r="F103" s="9"/>
      <c r="I103" s="10"/>
      <c r="O103" s="32"/>
      <c r="P103" s="9"/>
      <c r="Q103" s="9"/>
      <c r="R103" s="16"/>
      <c r="S103" s="16"/>
      <c r="T103" s="9"/>
      <c r="U103" s="60"/>
      <c r="V103" s="9"/>
      <c r="W103" s="9"/>
      <c r="X103" s="9"/>
      <c r="Y103" s="9"/>
      <c r="Z103" s="9"/>
      <c r="AA103" s="2"/>
      <c r="AB103" s="9"/>
      <c r="AC103" s="9"/>
    </row>
    <row r="104" spans="1:28" ht="12.75">
      <c r="A104" s="9"/>
      <c r="B104" s="12"/>
      <c r="C104" s="2"/>
      <c r="D104" s="2"/>
      <c r="E104" s="11"/>
      <c r="F104" s="9"/>
      <c r="I104" s="10"/>
      <c r="J104" s="6"/>
      <c r="K104" s="6"/>
      <c r="L104" s="6"/>
      <c r="M104" s="6"/>
      <c r="N104" s="6"/>
      <c r="O104" s="44"/>
      <c r="P104" s="42"/>
      <c r="Q104" s="42"/>
      <c r="R104" s="42"/>
      <c r="S104" s="46"/>
      <c r="T104" s="35"/>
      <c r="U104" s="60"/>
      <c r="V104" s="35"/>
      <c r="W104" s="35"/>
      <c r="X104" s="35"/>
      <c r="Y104" s="35"/>
      <c r="Z104" s="34"/>
      <c r="AA104" s="44"/>
      <c r="AB104" s="9"/>
    </row>
    <row r="105" spans="15:21" ht="12.75">
      <c r="O105" s="2"/>
      <c r="U105" s="60"/>
    </row>
    <row r="106" ht="12.75">
      <c r="U106" s="60"/>
    </row>
    <row r="107" ht="12.75">
      <c r="U107" s="60"/>
    </row>
    <row r="108" spans="1:29" ht="12.75">
      <c r="A108" s="9"/>
      <c r="C108" s="2"/>
      <c r="D108" s="2"/>
      <c r="E108" s="11"/>
      <c r="F108" s="9"/>
      <c r="I108" s="6"/>
      <c r="J108" s="6"/>
      <c r="K108" s="6"/>
      <c r="L108" s="6"/>
      <c r="M108" s="6"/>
      <c r="N108" s="6"/>
      <c r="O108" s="2"/>
      <c r="P108" s="29"/>
      <c r="Q108" s="9"/>
      <c r="R108" s="42"/>
      <c r="S108" s="16"/>
      <c r="T108" s="9"/>
      <c r="U108" s="60"/>
      <c r="V108" s="16"/>
      <c r="W108" s="9"/>
      <c r="X108" s="9"/>
      <c r="Y108" s="9"/>
      <c r="AA108" s="2"/>
      <c r="AC108" s="9"/>
    </row>
    <row r="109" spans="1:27" ht="12.75">
      <c r="A109" s="9"/>
      <c r="C109" s="2"/>
      <c r="D109" s="2"/>
      <c r="O109" s="2"/>
      <c r="P109" s="16"/>
      <c r="Q109" s="9"/>
      <c r="R109" s="16"/>
      <c r="S109" s="29"/>
      <c r="T109" s="9"/>
      <c r="U109" s="60"/>
      <c r="V109" s="16"/>
      <c r="W109" s="9"/>
      <c r="X109" s="9"/>
      <c r="Y109" s="9"/>
      <c r="AA109" s="2"/>
    </row>
    <row r="110" spans="1:27" ht="12.75">
      <c r="A110" s="9"/>
      <c r="C110" s="2"/>
      <c r="D110" s="2"/>
      <c r="O110" s="2"/>
      <c r="P110" s="16"/>
      <c r="Q110" s="9"/>
      <c r="R110" s="29"/>
      <c r="S110" s="16"/>
      <c r="T110" s="9"/>
      <c r="U110" s="60"/>
      <c r="V110" s="16"/>
      <c r="W110" s="9"/>
      <c r="X110" s="9"/>
      <c r="Y110" s="9"/>
      <c r="AA110" s="2"/>
    </row>
    <row r="114" spans="1:8" ht="12.75">
      <c r="A114" s="2"/>
      <c r="B114" s="11"/>
      <c r="H114" s="33"/>
    </row>
    <row r="118" ht="12.75">
      <c r="I118" s="27"/>
    </row>
  </sheetData>
  <printOptions/>
  <pageMargins left="0.75" right="0.75" top="1" bottom="1" header="0.5" footer="0.5"/>
  <pageSetup horizontalDpi="300" verticalDpi="300" orientation="portrait" r:id="rId1"/>
  <ignoredErrors>
    <ignoredError sqref="W22" formula="1"/>
  </ignoredErrors>
</worksheet>
</file>

<file path=xl/worksheets/sheet8.xml><?xml version="1.0" encoding="utf-8"?>
<worksheet xmlns="http://schemas.openxmlformats.org/spreadsheetml/2006/main" xmlns:r="http://schemas.openxmlformats.org/officeDocument/2006/relationships">
  <dimension ref="A1:AJ173"/>
  <sheetViews>
    <sheetView workbookViewId="0" topLeftCell="A1">
      <pane ySplit="1" topLeftCell="BM5" activePane="bottomLeft" state="frozen"/>
      <selection pane="topLeft" activeCell="A1" sqref="A1"/>
      <selection pane="bottomLeft" activeCell="A5" sqref="A5:IV6"/>
    </sheetView>
  </sheetViews>
  <sheetFormatPr defaultColWidth="9.140625" defaultRowHeight="12.75"/>
  <cols>
    <col min="1" max="1" width="10.57421875" style="0" customWidth="1"/>
    <col min="2" max="2" width="10.421875" style="0" customWidth="1"/>
    <col min="3" max="3" width="10.140625" style="0" customWidth="1"/>
    <col min="4" max="4" width="6.421875" style="0" bestFit="1" customWidth="1"/>
    <col min="5" max="5" width="5.00390625" style="0" customWidth="1"/>
    <col min="6" max="6" width="5.421875" style="0" customWidth="1"/>
    <col min="9" max="9" width="8.57421875" style="0" customWidth="1"/>
  </cols>
  <sheetData>
    <row r="1" spans="1:9" ht="12.75" customHeight="1" thickBot="1">
      <c r="A1" s="54"/>
      <c r="B1" s="66"/>
      <c r="C1" s="66" t="s">
        <v>1131</v>
      </c>
      <c r="D1" s="54" t="s">
        <v>1132</v>
      </c>
      <c r="E1" s="54" t="s">
        <v>1265</v>
      </c>
      <c r="F1" s="54" t="s">
        <v>1133</v>
      </c>
      <c r="G1" s="132" t="s">
        <v>1135</v>
      </c>
      <c r="H1" s="92"/>
      <c r="I1" s="92"/>
    </row>
    <row r="2" spans="1:29" ht="12.75" customHeight="1" thickBot="1">
      <c r="A2" s="54"/>
      <c r="B2" s="66"/>
      <c r="C2" s="253"/>
      <c r="D2" s="103">
        <v>89</v>
      </c>
      <c r="E2" s="55">
        <f>D2/28.349523</f>
        <v>3.1393826273549643</v>
      </c>
      <c r="F2" s="55">
        <f>E2/16</f>
        <v>0.19621141420968527</v>
      </c>
      <c r="G2" s="132" t="s">
        <v>1908</v>
      </c>
      <c r="H2" s="92"/>
      <c r="I2" s="92"/>
      <c r="J2" s="92"/>
      <c r="K2" s="92"/>
      <c r="L2" s="92"/>
      <c r="M2" s="92"/>
      <c r="N2" s="92"/>
      <c r="O2" s="92"/>
      <c r="P2" s="92"/>
      <c r="Q2" s="92"/>
      <c r="R2" s="92"/>
      <c r="S2" s="92"/>
      <c r="T2" s="92"/>
      <c r="U2" s="92"/>
      <c r="V2" s="92"/>
      <c r="W2" s="92"/>
      <c r="X2" s="92"/>
      <c r="Y2" s="92"/>
      <c r="Z2" s="92"/>
      <c r="AA2" s="92"/>
      <c r="AB2" s="92"/>
      <c r="AC2" s="92"/>
    </row>
    <row r="3" spans="1:21" ht="12.75" customHeight="1" thickBot="1">
      <c r="A3" s="54"/>
      <c r="B3" s="66"/>
      <c r="C3" s="253"/>
      <c r="D3" s="103">
        <v>19</v>
      </c>
      <c r="E3" s="55">
        <f>D3/28.349523</f>
        <v>0.6702052799971272</v>
      </c>
      <c r="F3" s="54"/>
      <c r="G3" s="238" t="s">
        <v>1803</v>
      </c>
      <c r="H3" s="92"/>
      <c r="I3" s="92"/>
      <c r="J3" s="92"/>
      <c r="K3" s="92"/>
      <c r="L3" s="92"/>
      <c r="M3" s="92"/>
      <c r="N3" s="92"/>
      <c r="O3" s="92"/>
      <c r="P3" s="92"/>
      <c r="Q3" s="92"/>
      <c r="R3" s="92"/>
      <c r="S3" s="92"/>
      <c r="T3" s="92"/>
      <c r="U3" s="92"/>
    </row>
    <row r="4" spans="1:29" ht="12.75" customHeight="1" thickBot="1">
      <c r="A4" s="54"/>
      <c r="B4" s="66"/>
      <c r="C4" s="253"/>
      <c r="D4" s="103"/>
      <c r="E4" s="55"/>
      <c r="F4" s="55"/>
      <c r="G4" s="238" t="s">
        <v>1438</v>
      </c>
      <c r="H4" s="134"/>
      <c r="I4" s="92"/>
      <c r="J4" s="134"/>
      <c r="K4" s="92"/>
      <c r="L4" s="92"/>
      <c r="M4" s="92"/>
      <c r="N4" s="92"/>
      <c r="O4" s="92"/>
      <c r="P4" s="92"/>
      <c r="Q4" s="92"/>
      <c r="R4" s="92"/>
      <c r="S4" s="92"/>
      <c r="T4" s="92"/>
      <c r="U4" s="92"/>
      <c r="V4" s="92"/>
      <c r="W4" s="92"/>
      <c r="X4" s="92"/>
      <c r="Y4" s="92"/>
      <c r="Z4" s="92"/>
      <c r="AA4" s="92"/>
      <c r="AB4" s="92"/>
      <c r="AC4" s="92"/>
    </row>
    <row r="5" spans="1:29" ht="12.75" customHeight="1" thickBot="1">
      <c r="A5" s="54"/>
      <c r="B5" s="66"/>
      <c r="C5" s="253"/>
      <c r="D5" s="103">
        <v>147</v>
      </c>
      <c r="E5" s="55">
        <f>D5/28.349523</f>
        <v>5.185272429451458</v>
      </c>
      <c r="F5" s="55">
        <f>E5/16</f>
        <v>0.3240795268407161</v>
      </c>
      <c r="G5" s="238" t="s">
        <v>2124</v>
      </c>
      <c r="H5" s="134"/>
      <c r="I5" s="92"/>
      <c r="J5" s="134"/>
      <c r="K5" s="92"/>
      <c r="L5" s="92"/>
      <c r="M5" s="92"/>
      <c r="N5" s="92"/>
      <c r="O5" s="92"/>
      <c r="P5" s="92"/>
      <c r="Q5" s="92"/>
      <c r="R5" s="92"/>
      <c r="S5" s="92"/>
      <c r="T5" s="92"/>
      <c r="U5" s="92"/>
      <c r="V5" s="92"/>
      <c r="W5" s="92"/>
      <c r="X5" s="92"/>
      <c r="Y5" s="92"/>
      <c r="Z5" s="92"/>
      <c r="AA5" s="92"/>
      <c r="AB5" s="92"/>
      <c r="AC5" s="92"/>
    </row>
    <row r="6" spans="1:9" ht="12.75" customHeight="1">
      <c r="A6" s="54"/>
      <c r="B6" s="66"/>
      <c r="C6" s="66" t="s">
        <v>1384</v>
      </c>
      <c r="D6" s="57">
        <v>47</v>
      </c>
      <c r="E6" s="55">
        <f>D6/28.349523</f>
        <v>1.6578762189402623</v>
      </c>
      <c r="F6" s="55">
        <f>E6/16</f>
        <v>0.10361726368376639</v>
      </c>
      <c r="G6" s="132" t="s">
        <v>505</v>
      </c>
      <c r="H6" s="134"/>
      <c r="I6" s="92"/>
    </row>
    <row r="7" spans="1:29" ht="12.75" customHeight="1">
      <c r="A7" s="54"/>
      <c r="B7" s="66"/>
      <c r="C7" s="66" t="s">
        <v>1384</v>
      </c>
      <c r="D7" s="61">
        <v>39</v>
      </c>
      <c r="E7" s="55">
        <f>D7/28.349523</f>
        <v>1.3756845220993665</v>
      </c>
      <c r="F7" s="55">
        <f>E7/16</f>
        <v>0.08598028263121041</v>
      </c>
      <c r="G7" s="236" t="s">
        <v>506</v>
      </c>
      <c r="H7" s="134"/>
      <c r="I7" s="92"/>
      <c r="J7" s="92"/>
      <c r="K7" s="92"/>
      <c r="L7" s="92"/>
      <c r="M7" s="92"/>
      <c r="N7" s="92"/>
      <c r="O7" s="92"/>
      <c r="P7" s="92"/>
      <c r="Q7" s="92"/>
      <c r="R7" s="92"/>
      <c r="S7" s="92"/>
      <c r="T7" s="92"/>
      <c r="U7" s="92"/>
      <c r="V7" s="92"/>
      <c r="W7" s="92"/>
      <c r="X7" s="92"/>
      <c r="Y7" s="92"/>
      <c r="Z7" s="92"/>
      <c r="AA7" s="92"/>
      <c r="AB7" s="92"/>
      <c r="AC7" s="92"/>
    </row>
    <row r="8" spans="1:29" ht="12.75" customHeight="1">
      <c r="A8" s="54"/>
      <c r="B8" s="66"/>
      <c r="C8" s="66" t="s">
        <v>1384</v>
      </c>
      <c r="D8" s="61">
        <v>294</v>
      </c>
      <c r="E8" s="55">
        <f>D8/28.349523</f>
        <v>10.370544858902916</v>
      </c>
      <c r="F8" s="55">
        <f>E8/16</f>
        <v>0.6481590536814322</v>
      </c>
      <c r="G8" s="236" t="s">
        <v>1909</v>
      </c>
      <c r="H8" s="134"/>
      <c r="I8" s="92"/>
      <c r="J8" s="92"/>
      <c r="K8" s="92"/>
      <c r="L8" s="92"/>
      <c r="M8" s="92"/>
      <c r="N8" s="92"/>
      <c r="O8" s="92"/>
      <c r="P8" s="92"/>
      <c r="Q8" s="92"/>
      <c r="R8" s="92"/>
      <c r="S8" s="92"/>
      <c r="T8" s="92"/>
      <c r="U8" s="92"/>
      <c r="V8" s="92"/>
      <c r="W8" s="92"/>
      <c r="X8" s="92"/>
      <c r="Y8" s="92"/>
      <c r="Z8" s="92"/>
      <c r="AA8" s="92"/>
      <c r="AB8" s="92"/>
      <c r="AC8" s="92"/>
    </row>
    <row r="9" spans="1:29" ht="12.75" customHeight="1">
      <c r="A9" s="54"/>
      <c r="B9" s="66"/>
      <c r="C9" s="66" t="s">
        <v>1384</v>
      </c>
      <c r="D9" s="57">
        <v>20</v>
      </c>
      <c r="E9" s="55"/>
      <c r="F9" s="55"/>
      <c r="G9" s="238" t="s">
        <v>891</v>
      </c>
      <c r="H9" s="92"/>
      <c r="I9" s="92"/>
      <c r="J9" s="92"/>
      <c r="K9" s="92"/>
      <c r="L9" s="92"/>
      <c r="M9" s="92"/>
      <c r="N9" s="92"/>
      <c r="O9" s="92"/>
      <c r="P9" s="92"/>
      <c r="Q9" s="92"/>
      <c r="R9" s="92"/>
      <c r="S9" s="92"/>
      <c r="T9" s="92"/>
      <c r="U9" s="92"/>
      <c r="V9" s="92"/>
      <c r="W9" s="92"/>
      <c r="X9" s="92"/>
      <c r="Y9" s="92"/>
      <c r="Z9" s="92"/>
      <c r="AA9" s="92"/>
      <c r="AB9" s="92"/>
      <c r="AC9" s="92"/>
    </row>
    <row r="10" spans="1:13" ht="12.75" customHeight="1">
      <c r="A10" s="54"/>
      <c r="B10" s="66"/>
      <c r="C10" s="66" t="s">
        <v>1389</v>
      </c>
      <c r="D10" s="57">
        <v>422</v>
      </c>
      <c r="E10" s="55">
        <f>D10/28.349523</f>
        <v>14.885612008357247</v>
      </c>
      <c r="F10" s="55">
        <f>E10/16</f>
        <v>0.930350750522328</v>
      </c>
      <c r="G10" s="239" t="s">
        <v>403</v>
      </c>
      <c r="H10" s="92"/>
      <c r="I10" s="92"/>
      <c r="K10" s="2"/>
      <c r="M10" s="3"/>
    </row>
    <row r="11" spans="1:29" ht="12.75" customHeight="1">
      <c r="A11" s="54"/>
      <c r="B11" s="66"/>
      <c r="C11" s="66" t="s">
        <v>1381</v>
      </c>
      <c r="D11" s="61">
        <v>388</v>
      </c>
      <c r="E11" s="55"/>
      <c r="F11" s="55"/>
      <c r="G11" s="236" t="s">
        <v>1392</v>
      </c>
      <c r="H11" s="92"/>
      <c r="I11" s="92"/>
      <c r="J11" s="92"/>
      <c r="K11" s="92" t="s">
        <v>2099</v>
      </c>
      <c r="L11" s="92">
        <v>242</v>
      </c>
      <c r="M11" s="92" t="s">
        <v>1598</v>
      </c>
      <c r="N11" s="93">
        <f>L11+D12+D13</f>
        <v>2317</v>
      </c>
      <c r="O11" s="55">
        <f>N11/28.349523</f>
        <v>81.72977019754441</v>
      </c>
      <c r="P11" s="87">
        <f>O11/16</f>
        <v>5.108110637346526</v>
      </c>
      <c r="Q11" s="92"/>
      <c r="R11" s="92"/>
      <c r="S11" s="92"/>
      <c r="T11" s="92"/>
      <c r="U11" s="92"/>
      <c r="V11" s="92"/>
      <c r="W11" s="92"/>
      <c r="X11" s="92"/>
      <c r="Y11" s="92"/>
      <c r="Z11" s="92"/>
      <c r="AA11" s="92"/>
      <c r="AB11" s="92"/>
      <c r="AC11" s="92"/>
    </row>
    <row r="12" spans="1:29" ht="12.75" customHeight="1">
      <c r="A12" s="54"/>
      <c r="B12" s="66"/>
      <c r="C12" s="66" t="s">
        <v>1381</v>
      </c>
      <c r="D12" s="57">
        <v>1607</v>
      </c>
      <c r="E12" s="55">
        <f>D12/28.349523</f>
        <v>56.685257102914925</v>
      </c>
      <c r="F12" s="55">
        <f>E12/16</f>
        <v>3.542828568932183</v>
      </c>
      <c r="G12" s="132" t="s">
        <v>1910</v>
      </c>
      <c r="H12" s="92"/>
      <c r="I12" s="92"/>
      <c r="J12" s="92"/>
      <c r="K12" s="93"/>
      <c r="L12" s="92"/>
      <c r="M12" s="92"/>
      <c r="N12" s="92"/>
      <c r="O12" s="92"/>
      <c r="P12" s="92"/>
      <c r="Q12" s="92"/>
      <c r="R12" s="92"/>
      <c r="S12" s="92"/>
      <c r="T12" s="92"/>
      <c r="U12" s="92"/>
      <c r="V12" s="92"/>
      <c r="W12" s="92"/>
      <c r="X12" s="92"/>
      <c r="Y12" s="92"/>
      <c r="Z12" s="92"/>
      <c r="AA12" s="92"/>
      <c r="AB12" s="92"/>
      <c r="AC12" s="92"/>
    </row>
    <row r="13" spans="1:29" ht="12.75" customHeight="1">
      <c r="A13" s="54"/>
      <c r="B13" s="66"/>
      <c r="C13" s="66" t="s">
        <v>1381</v>
      </c>
      <c r="D13" s="57">
        <v>468</v>
      </c>
      <c r="E13" s="55">
        <f>D13/28.349523</f>
        <v>16.508214265192397</v>
      </c>
      <c r="F13" s="55">
        <f>E13/16</f>
        <v>1.0317633915745248</v>
      </c>
      <c r="G13" s="132" t="s">
        <v>1912</v>
      </c>
      <c r="H13" s="92"/>
      <c r="I13" s="92"/>
      <c r="J13" s="93"/>
      <c r="K13" s="92"/>
      <c r="L13" s="92"/>
      <c r="M13" s="92"/>
      <c r="N13" s="92"/>
      <c r="O13" s="92"/>
      <c r="P13" s="92"/>
      <c r="Q13" s="92"/>
      <c r="R13" s="92"/>
      <c r="S13" s="92"/>
      <c r="T13" s="92"/>
      <c r="U13" s="92"/>
      <c r="V13" s="92"/>
      <c r="W13" s="92"/>
      <c r="X13" s="92"/>
      <c r="Y13" s="92"/>
      <c r="Z13" s="92"/>
      <c r="AA13" s="92"/>
      <c r="AB13" s="92"/>
      <c r="AC13" s="92"/>
    </row>
    <row r="14" spans="1:29" ht="12.75" customHeight="1">
      <c r="A14" s="54"/>
      <c r="B14" s="66"/>
      <c r="C14" s="66" t="s">
        <v>1384</v>
      </c>
      <c r="D14" s="57">
        <v>8</v>
      </c>
      <c r="E14" s="55">
        <v>0.3527396210511196</v>
      </c>
      <c r="F14" s="55"/>
      <c r="G14" s="63" t="s">
        <v>1067</v>
      </c>
      <c r="H14" s="92"/>
      <c r="I14" s="92"/>
      <c r="J14" s="92"/>
      <c r="K14" s="92"/>
      <c r="L14" s="92"/>
      <c r="M14" s="92"/>
      <c r="N14" s="92"/>
      <c r="O14" s="92"/>
      <c r="P14" s="92"/>
      <c r="Q14" s="92"/>
      <c r="R14" s="92"/>
      <c r="S14" s="92"/>
      <c r="T14" s="92"/>
      <c r="U14" s="92"/>
      <c r="V14" s="92"/>
      <c r="W14" s="92"/>
      <c r="X14" s="92"/>
      <c r="Y14" s="92"/>
      <c r="Z14" s="92"/>
      <c r="AA14" s="92"/>
      <c r="AB14" s="92"/>
      <c r="AC14" s="92"/>
    </row>
    <row r="15" spans="1:29" ht="12.75" customHeight="1">
      <c r="A15" s="54"/>
      <c r="B15" s="66"/>
      <c r="C15" s="66" t="s">
        <v>1384</v>
      </c>
      <c r="D15" s="57">
        <v>26</v>
      </c>
      <c r="E15" s="55">
        <f>D15/28.349523</f>
        <v>0.917123014732911</v>
      </c>
      <c r="F15" s="55"/>
      <c r="G15" s="236" t="s">
        <v>18</v>
      </c>
      <c r="H15" s="92"/>
      <c r="I15" s="92"/>
      <c r="J15" s="92"/>
      <c r="K15" s="92"/>
      <c r="L15" s="92"/>
      <c r="M15" s="92"/>
      <c r="N15" s="92"/>
      <c r="O15" s="92"/>
      <c r="P15" s="92"/>
      <c r="Q15" s="92"/>
      <c r="R15" s="92"/>
      <c r="S15" s="92"/>
      <c r="T15" s="92"/>
      <c r="U15" s="92"/>
      <c r="V15" s="92"/>
      <c r="W15" s="92"/>
      <c r="X15" s="92"/>
      <c r="Y15" s="92"/>
      <c r="Z15" s="92"/>
      <c r="AA15" s="92"/>
      <c r="AB15" s="92"/>
      <c r="AC15" s="92"/>
    </row>
    <row r="16" spans="1:29" ht="12.75" customHeight="1">
      <c r="A16" s="54"/>
      <c r="B16" s="66"/>
      <c r="C16" s="73" t="s">
        <v>1384</v>
      </c>
      <c r="D16" s="68">
        <v>44</v>
      </c>
      <c r="E16" s="69">
        <f>D16/28.349523</f>
        <v>1.5520543326249263</v>
      </c>
      <c r="F16" s="183"/>
      <c r="G16" s="246" t="s">
        <v>414</v>
      </c>
      <c r="H16" s="92"/>
      <c r="I16" s="92"/>
      <c r="J16" s="92"/>
      <c r="K16" s="92"/>
      <c r="L16" s="92"/>
      <c r="M16" s="92"/>
      <c r="N16" s="92"/>
      <c r="O16" s="92"/>
      <c r="P16" s="92"/>
      <c r="Q16" s="92"/>
      <c r="R16" s="92"/>
      <c r="S16" s="92"/>
      <c r="T16" s="92"/>
      <c r="U16" s="92"/>
      <c r="V16" s="92"/>
      <c r="W16" s="92"/>
      <c r="X16" s="92"/>
      <c r="Y16" s="92"/>
      <c r="Z16" s="92"/>
      <c r="AA16" s="92"/>
      <c r="AB16" s="92"/>
      <c r="AC16" s="92"/>
    </row>
    <row r="17" spans="1:29" ht="12.75" customHeight="1">
      <c r="A17" s="54"/>
      <c r="B17" s="66"/>
      <c r="C17" s="66"/>
      <c r="D17" s="57"/>
      <c r="E17" s="55"/>
      <c r="F17" s="87"/>
      <c r="G17" s="246" t="s">
        <v>1504</v>
      </c>
      <c r="H17" s="92"/>
      <c r="I17" s="92"/>
      <c r="J17" s="92"/>
      <c r="K17" s="92"/>
      <c r="L17" s="92"/>
      <c r="M17" s="92"/>
      <c r="N17" s="92"/>
      <c r="O17" s="92"/>
      <c r="P17" s="92"/>
      <c r="Q17" s="92"/>
      <c r="R17" s="92"/>
      <c r="S17" s="92"/>
      <c r="T17" s="92"/>
      <c r="U17" s="92"/>
      <c r="V17" s="92"/>
      <c r="W17" s="92"/>
      <c r="X17" s="92"/>
      <c r="Y17" s="92"/>
      <c r="Z17" s="92"/>
      <c r="AA17" s="92"/>
      <c r="AB17" s="92"/>
      <c r="AC17" s="92"/>
    </row>
    <row r="18" spans="1:29" ht="12.75" customHeight="1" thickBot="1">
      <c r="A18" s="54"/>
      <c r="B18" s="66"/>
      <c r="C18" s="195"/>
      <c r="D18" s="252"/>
      <c r="E18" s="249"/>
      <c r="F18" s="250"/>
      <c r="G18" s="238" t="s">
        <v>1501</v>
      </c>
      <c r="H18" s="92"/>
      <c r="I18" s="92"/>
      <c r="J18" s="92"/>
      <c r="K18" s="92"/>
      <c r="L18" s="92"/>
      <c r="M18" s="92"/>
      <c r="N18" s="92"/>
      <c r="O18" s="92"/>
      <c r="P18" s="92"/>
      <c r="Q18" s="92"/>
      <c r="R18" s="92"/>
      <c r="S18" s="92"/>
      <c r="T18" s="92"/>
      <c r="U18" s="92"/>
      <c r="V18" s="92"/>
      <c r="W18" s="92"/>
      <c r="X18" s="92"/>
      <c r="Y18" s="92"/>
      <c r="Z18" s="92"/>
      <c r="AA18" s="92"/>
      <c r="AB18" s="92"/>
      <c r="AC18" s="92"/>
    </row>
    <row r="19" spans="1:7" s="92" customFormat="1" ht="12.75" customHeight="1" thickBot="1">
      <c r="A19" s="54"/>
      <c r="B19" s="66"/>
      <c r="C19" s="253"/>
      <c r="D19" s="66">
        <v>84</v>
      </c>
      <c r="E19" s="55">
        <f>D19/28.349523</f>
        <v>2.9630128168294045</v>
      </c>
      <c r="F19" s="87"/>
      <c r="G19" s="238" t="s">
        <v>1953</v>
      </c>
    </row>
    <row r="20" spans="1:29" ht="12.75" customHeight="1" thickBot="1">
      <c r="A20" s="54"/>
      <c r="B20" s="66"/>
      <c r="C20" s="193"/>
      <c r="D20" s="153">
        <f>168-34</f>
        <v>134</v>
      </c>
      <c r="E20" s="249">
        <f>D20/28.349523</f>
        <v>4.726710922085003</v>
      </c>
      <c r="F20" s="250"/>
      <c r="G20" s="251" t="s">
        <v>802</v>
      </c>
      <c r="H20" s="92"/>
      <c r="J20" s="92"/>
      <c r="K20" s="92"/>
      <c r="L20" s="92"/>
      <c r="M20" s="92"/>
      <c r="N20" s="92"/>
      <c r="O20" s="92"/>
      <c r="P20" s="92"/>
      <c r="Q20" s="92"/>
      <c r="R20" s="92"/>
      <c r="S20" s="92"/>
      <c r="T20" s="92"/>
      <c r="U20" s="92"/>
      <c r="V20" s="92"/>
      <c r="W20" s="92"/>
      <c r="X20" s="92"/>
      <c r="Y20" s="92"/>
      <c r="Z20" s="92"/>
      <c r="AA20" s="92"/>
      <c r="AB20" s="92"/>
      <c r="AC20" s="92"/>
    </row>
    <row r="21" spans="1:29" ht="12.75" customHeight="1" thickBot="1">
      <c r="A21" s="54"/>
      <c r="B21" s="66"/>
      <c r="C21" s="253"/>
      <c r="D21" s="103">
        <f>31*3/4</f>
        <v>23.25</v>
      </c>
      <c r="E21" s="55">
        <f>D21/28.349523</f>
        <v>0.8201196189438531</v>
      </c>
      <c r="F21" s="55"/>
      <c r="G21" s="54" t="s">
        <v>161</v>
      </c>
      <c r="H21" s="92"/>
      <c r="I21" s="92"/>
      <c r="J21" s="92"/>
      <c r="K21" s="92"/>
      <c r="L21" s="92"/>
      <c r="M21" s="92"/>
      <c r="N21" s="92"/>
      <c r="O21" s="92"/>
      <c r="P21" s="92"/>
      <c r="Q21" s="92"/>
      <c r="R21" s="92"/>
      <c r="S21" s="92"/>
      <c r="T21" s="92"/>
      <c r="U21" s="92"/>
      <c r="V21" s="92"/>
      <c r="W21" s="92"/>
      <c r="X21" s="92"/>
      <c r="Y21" s="92"/>
      <c r="Z21" s="92"/>
      <c r="AA21" s="92"/>
      <c r="AB21" s="92"/>
      <c r="AC21" s="92"/>
    </row>
    <row r="22" spans="1:29" ht="12.75" customHeight="1" thickBot="1">
      <c r="A22" s="54"/>
      <c r="B22" s="66"/>
      <c r="C22" s="254"/>
      <c r="D22" s="247"/>
      <c r="E22" s="179"/>
      <c r="F22" s="186"/>
      <c r="G22" s="248" t="s">
        <v>1388</v>
      </c>
      <c r="H22" s="92"/>
      <c r="I22" s="92"/>
      <c r="J22" s="92"/>
      <c r="K22" s="92"/>
      <c r="L22" s="92"/>
      <c r="M22" s="92"/>
      <c r="N22" s="92"/>
      <c r="O22" s="92"/>
      <c r="P22" s="92"/>
      <c r="Q22" s="92"/>
      <c r="R22" s="92"/>
      <c r="S22" s="92"/>
      <c r="T22" s="92"/>
      <c r="U22" s="92"/>
      <c r="V22" s="92"/>
      <c r="W22" s="92"/>
      <c r="X22" s="92"/>
      <c r="Y22" s="92"/>
      <c r="Z22" s="92"/>
      <c r="AA22" s="92"/>
      <c r="AB22" s="92"/>
      <c r="AC22" s="92"/>
    </row>
    <row r="23" spans="1:29" ht="12.75" customHeight="1">
      <c r="A23" s="54"/>
      <c r="B23" s="66"/>
      <c r="C23" s="317" t="s">
        <v>1384</v>
      </c>
      <c r="D23" s="54"/>
      <c r="E23" s="54"/>
      <c r="F23" s="87"/>
      <c r="G23" s="240" t="s">
        <v>1387</v>
      </c>
      <c r="H23" s="92"/>
      <c r="I23" s="92"/>
      <c r="J23" s="92"/>
      <c r="K23" s="92"/>
      <c r="L23" s="92"/>
      <c r="M23" s="92"/>
      <c r="N23" s="92"/>
      <c r="O23" s="92"/>
      <c r="P23" s="92"/>
      <c r="Q23" s="92"/>
      <c r="R23" s="92"/>
      <c r="S23" s="92"/>
      <c r="T23" s="92"/>
      <c r="U23" s="92"/>
      <c r="V23" s="92"/>
      <c r="W23" s="92"/>
      <c r="X23" s="92"/>
      <c r="Y23" s="92"/>
      <c r="Z23" s="92"/>
      <c r="AA23" s="92"/>
      <c r="AB23" s="92"/>
      <c r="AC23" s="92"/>
    </row>
    <row r="24" spans="1:29" ht="12.75" customHeight="1">
      <c r="A24" s="54"/>
      <c r="B24" s="66"/>
      <c r="C24" s="318"/>
      <c r="D24" s="57">
        <v>124</v>
      </c>
      <c r="E24" s="55">
        <f>D24/28.349523</f>
        <v>4.373971301033883</v>
      </c>
      <c r="F24" s="55">
        <f>E24/16</f>
        <v>0.2733732063146177</v>
      </c>
      <c r="G24" s="240" t="s">
        <v>15</v>
      </c>
      <c r="H24" s="92"/>
      <c r="I24" s="92"/>
      <c r="J24" s="92"/>
      <c r="K24" s="92"/>
      <c r="L24" s="92"/>
      <c r="M24" s="92"/>
      <c r="N24" s="92"/>
      <c r="O24" s="92"/>
      <c r="P24" s="92"/>
      <c r="Q24" s="92"/>
      <c r="R24" s="92"/>
      <c r="S24" s="92"/>
      <c r="T24" s="92"/>
      <c r="U24" s="92"/>
      <c r="V24" s="92"/>
      <c r="W24" s="92"/>
      <c r="X24" s="92"/>
      <c r="Y24" s="92"/>
      <c r="Z24" s="92"/>
      <c r="AA24" s="92"/>
      <c r="AB24" s="92"/>
      <c r="AC24" s="92"/>
    </row>
    <row r="25" spans="1:29" ht="12.75" customHeight="1">
      <c r="A25" s="54"/>
      <c r="B25" s="66"/>
      <c r="C25" s="318"/>
      <c r="D25" s="57"/>
      <c r="E25" s="55"/>
      <c r="F25" s="87"/>
      <c r="G25" s="240" t="s">
        <v>14</v>
      </c>
      <c r="H25" s="92"/>
      <c r="I25" s="92"/>
      <c r="J25" s="92"/>
      <c r="K25" s="92"/>
      <c r="L25" s="92"/>
      <c r="M25" s="92"/>
      <c r="N25" s="92"/>
      <c r="O25" s="92"/>
      <c r="P25" s="92"/>
      <c r="Q25" s="92"/>
      <c r="R25" s="92"/>
      <c r="S25" s="92"/>
      <c r="T25" s="92"/>
      <c r="U25" s="92"/>
      <c r="V25" s="92"/>
      <c r="W25" s="92"/>
      <c r="X25" s="92"/>
      <c r="Y25" s="92"/>
      <c r="Z25" s="92"/>
      <c r="AA25" s="92"/>
      <c r="AB25" s="92"/>
      <c r="AC25" s="92"/>
    </row>
    <row r="26" spans="1:29" ht="12.75" customHeight="1">
      <c r="A26" s="54"/>
      <c r="B26" s="66"/>
      <c r="C26" s="66" t="s">
        <v>1384</v>
      </c>
      <c r="D26" s="54">
        <v>21</v>
      </c>
      <c r="E26" s="55">
        <f aca="true" t="shared" si="0" ref="E26:E31">D26/28.349523</f>
        <v>0.7407532042073511</v>
      </c>
      <c r="F26" s="54"/>
      <c r="G26" s="132" t="s">
        <v>11</v>
      </c>
      <c r="H26" s="92"/>
      <c r="I26" s="92"/>
      <c r="J26" s="92"/>
      <c r="K26" s="92"/>
      <c r="L26" s="92"/>
      <c r="M26" s="92"/>
      <c r="N26" s="92"/>
      <c r="O26" s="92"/>
      <c r="P26" s="92"/>
      <c r="Q26" s="92"/>
      <c r="R26" s="92"/>
      <c r="S26" s="92"/>
      <c r="T26" s="92"/>
      <c r="U26" s="92"/>
      <c r="V26" s="92"/>
      <c r="W26" s="92"/>
      <c r="X26" s="92"/>
      <c r="Y26" s="92"/>
      <c r="Z26" s="92"/>
      <c r="AA26" s="92"/>
      <c r="AB26" s="92"/>
      <c r="AC26" s="92"/>
    </row>
    <row r="27" spans="1:29" ht="12.75" customHeight="1">
      <c r="A27" s="54"/>
      <c r="B27" s="66"/>
      <c r="C27" s="66" t="s">
        <v>1384</v>
      </c>
      <c r="D27" s="54">
        <v>5</v>
      </c>
      <c r="E27" s="55">
        <f t="shared" si="0"/>
        <v>0.1763698105255598</v>
      </c>
      <c r="F27" s="55"/>
      <c r="G27" s="132" t="s">
        <v>28</v>
      </c>
      <c r="H27" s="92"/>
      <c r="I27" s="92"/>
      <c r="J27" s="92"/>
      <c r="K27" s="92"/>
      <c r="L27" s="92"/>
      <c r="M27" s="92"/>
      <c r="N27" s="92"/>
      <c r="O27" s="92"/>
      <c r="P27" s="92"/>
      <c r="Q27" s="92"/>
      <c r="R27" s="92"/>
      <c r="S27" s="92"/>
      <c r="T27" s="92"/>
      <c r="U27" s="92"/>
      <c r="V27" s="92"/>
      <c r="W27" s="92"/>
      <c r="X27" s="92"/>
      <c r="Y27" s="92"/>
      <c r="Z27" s="92"/>
      <c r="AA27" s="92"/>
      <c r="AB27" s="92"/>
      <c r="AC27" s="92"/>
    </row>
    <row r="28" spans="1:29" ht="12.75" customHeight="1">
      <c r="A28" s="54"/>
      <c r="B28" s="66"/>
      <c r="C28" s="66" t="s">
        <v>1384</v>
      </c>
      <c r="D28" s="54">
        <v>14</v>
      </c>
      <c r="E28" s="55">
        <f t="shared" si="0"/>
        <v>0.4938354694715675</v>
      </c>
      <c r="F28" s="54"/>
      <c r="G28" s="132" t="s">
        <v>1386</v>
      </c>
      <c r="H28" s="92"/>
      <c r="I28" s="92"/>
      <c r="J28" s="92"/>
      <c r="K28" s="92"/>
      <c r="L28" s="92"/>
      <c r="M28" s="92"/>
      <c r="N28" s="92"/>
      <c r="O28" s="92"/>
      <c r="P28" s="92"/>
      <c r="Q28" s="92"/>
      <c r="R28" s="92"/>
      <c r="S28" s="92"/>
      <c r="T28" s="92"/>
      <c r="U28" s="92"/>
      <c r="V28" s="92"/>
      <c r="W28" s="92"/>
      <c r="X28" s="92"/>
      <c r="Y28" s="92"/>
      <c r="Z28" s="92"/>
      <c r="AA28" s="92"/>
      <c r="AB28" s="92"/>
      <c r="AC28" s="92"/>
    </row>
    <row r="29" spans="1:29" ht="12.75" customHeight="1">
      <c r="A29" s="54"/>
      <c r="B29" s="66"/>
      <c r="C29" s="66" t="s">
        <v>1384</v>
      </c>
      <c r="D29" s="57">
        <v>60</v>
      </c>
      <c r="E29" s="55">
        <f t="shared" si="0"/>
        <v>2.116437726306718</v>
      </c>
      <c r="F29" s="55"/>
      <c r="G29" s="132" t="s">
        <v>1911</v>
      </c>
      <c r="H29" s="92"/>
      <c r="I29" s="92"/>
      <c r="J29" s="92"/>
      <c r="K29" s="92"/>
      <c r="L29" s="92"/>
      <c r="M29" s="92"/>
      <c r="N29" s="92"/>
      <c r="O29" s="92"/>
      <c r="P29" s="92"/>
      <c r="Q29" s="92"/>
      <c r="R29" s="92"/>
      <c r="S29" s="92"/>
      <c r="T29" s="92"/>
      <c r="U29" s="92"/>
      <c r="V29" s="92"/>
      <c r="W29" s="92"/>
      <c r="X29" s="92"/>
      <c r="Y29" s="92"/>
      <c r="Z29" s="92"/>
      <c r="AA29" s="92"/>
      <c r="AB29" s="92"/>
      <c r="AC29" s="92"/>
    </row>
    <row r="30" spans="1:29" ht="12.75" customHeight="1">
      <c r="A30" s="54"/>
      <c r="B30" s="66"/>
      <c r="C30" s="66" t="s">
        <v>1384</v>
      </c>
      <c r="D30" s="54">
        <v>120</v>
      </c>
      <c r="E30" s="55">
        <f t="shared" si="0"/>
        <v>4.232875452613436</v>
      </c>
      <c r="F30" s="54"/>
      <c r="G30" s="237" t="s">
        <v>2113</v>
      </c>
      <c r="H30" s="92"/>
      <c r="I30" s="92"/>
      <c r="J30" s="92"/>
      <c r="K30" s="92"/>
      <c r="L30" s="92"/>
      <c r="M30" s="92"/>
      <c r="N30" s="92"/>
      <c r="O30" s="92"/>
      <c r="P30" s="92"/>
      <c r="Q30" s="92"/>
      <c r="R30" s="92"/>
      <c r="S30" s="92"/>
      <c r="T30" s="92"/>
      <c r="U30" s="92"/>
      <c r="V30" s="92"/>
      <c r="W30" s="92"/>
      <c r="X30" s="92"/>
      <c r="Y30" s="92"/>
      <c r="Z30" s="92"/>
      <c r="AA30" s="92"/>
      <c r="AB30" s="92"/>
      <c r="AC30" s="92"/>
    </row>
    <row r="31" spans="1:29" ht="12.75" customHeight="1">
      <c r="A31" s="54"/>
      <c r="B31" s="66"/>
      <c r="C31" s="66" t="s">
        <v>1384</v>
      </c>
      <c r="D31" s="54">
        <v>21</v>
      </c>
      <c r="E31" s="55">
        <f t="shared" si="0"/>
        <v>0.7407532042073511</v>
      </c>
      <c r="F31" s="54"/>
      <c r="G31" s="132" t="s">
        <v>646</v>
      </c>
      <c r="H31" s="92"/>
      <c r="I31" s="92"/>
      <c r="J31" s="92"/>
      <c r="K31" s="92"/>
      <c r="L31" s="92"/>
      <c r="M31" s="92"/>
      <c r="N31" s="92"/>
      <c r="O31" s="92"/>
      <c r="P31" s="92"/>
      <c r="Q31" s="92"/>
      <c r="R31" s="92"/>
      <c r="S31" s="92"/>
      <c r="T31" s="92"/>
      <c r="U31" s="92"/>
      <c r="V31" s="92"/>
      <c r="W31" s="92"/>
      <c r="X31" s="92"/>
      <c r="Y31" s="92"/>
      <c r="Z31" s="92"/>
      <c r="AA31" s="92"/>
      <c r="AB31" s="92"/>
      <c r="AC31" s="92"/>
    </row>
    <row r="32" spans="1:29" ht="12.75" customHeight="1">
      <c r="A32" s="54"/>
      <c r="B32" s="66"/>
      <c r="C32" s="66" t="s">
        <v>621</v>
      </c>
      <c r="D32" s="57">
        <f>E32*28.349523</f>
        <v>1403.3013885</v>
      </c>
      <c r="E32" s="55">
        <v>49.5</v>
      </c>
      <c r="F32" s="55">
        <v>3.1</v>
      </c>
      <c r="G32" s="242" t="s">
        <v>1667</v>
      </c>
      <c r="H32" s="92"/>
      <c r="I32" s="92"/>
      <c r="J32" s="92"/>
      <c r="K32" s="92"/>
      <c r="L32" s="92"/>
      <c r="M32" s="92"/>
      <c r="N32" s="92"/>
      <c r="O32" s="92"/>
      <c r="P32" s="92"/>
      <c r="Q32" s="92"/>
      <c r="R32" s="92"/>
      <c r="S32" s="92"/>
      <c r="T32" s="92"/>
      <c r="U32" s="92"/>
      <c r="V32" s="92"/>
      <c r="W32" s="92"/>
      <c r="X32" s="92"/>
      <c r="Y32" s="92"/>
      <c r="Z32" s="92"/>
      <c r="AA32" s="92"/>
      <c r="AB32" s="92"/>
      <c r="AC32" s="92"/>
    </row>
    <row r="33" spans="1:29" ht="12.75" customHeight="1">
      <c r="A33" s="54"/>
      <c r="B33" s="66"/>
      <c r="C33" s="200" t="s">
        <v>1390</v>
      </c>
      <c r="D33" s="57">
        <v>403</v>
      </c>
      <c r="E33" s="55">
        <f aca="true" t="shared" si="1" ref="E33:E40">D33/28.349523</f>
        <v>14.21540672836012</v>
      </c>
      <c r="F33" s="55">
        <f>E33/16</f>
        <v>0.8884629205225075</v>
      </c>
      <c r="G33" s="132" t="s">
        <v>1640</v>
      </c>
      <c r="H33" s="134"/>
      <c r="I33" s="92"/>
      <c r="J33" s="92"/>
      <c r="K33" s="92"/>
      <c r="L33" s="92"/>
      <c r="M33" s="92"/>
      <c r="N33" s="92"/>
      <c r="O33" s="92"/>
      <c r="P33" s="92"/>
      <c r="Q33" s="92"/>
      <c r="R33" s="92"/>
      <c r="S33" s="92"/>
      <c r="T33" s="92"/>
      <c r="U33" s="92"/>
      <c r="V33" s="92"/>
      <c r="W33" s="92"/>
      <c r="X33" s="92"/>
      <c r="Y33" s="92"/>
      <c r="Z33" s="92"/>
      <c r="AA33" s="92"/>
      <c r="AB33" s="92"/>
      <c r="AC33" s="92"/>
    </row>
    <row r="34" spans="1:29" ht="12.75" customHeight="1">
      <c r="A34" s="54"/>
      <c r="B34" s="66"/>
      <c r="C34" s="200" t="s">
        <v>1390</v>
      </c>
      <c r="D34" s="57">
        <v>266</v>
      </c>
      <c r="E34" s="55">
        <f t="shared" si="1"/>
        <v>9.382873919959781</v>
      </c>
      <c r="F34" s="55">
        <f>E34/16</f>
        <v>0.5864296199974863</v>
      </c>
      <c r="G34" s="132" t="s">
        <v>1638</v>
      </c>
      <c r="H34" s="134"/>
      <c r="I34" s="92"/>
      <c r="J34" s="92"/>
      <c r="K34" s="92"/>
      <c r="L34" s="92"/>
      <c r="M34" s="92"/>
      <c r="N34" s="92"/>
      <c r="O34" s="92"/>
      <c r="P34" s="92"/>
      <c r="Q34" s="92"/>
      <c r="R34" s="92"/>
      <c r="S34" s="92"/>
      <c r="T34" s="92"/>
      <c r="U34" s="92"/>
      <c r="V34" s="92"/>
      <c r="W34" s="92"/>
      <c r="X34" s="92"/>
      <c r="Y34" s="92"/>
      <c r="Z34" s="92"/>
      <c r="AA34" s="92"/>
      <c r="AB34" s="92"/>
      <c r="AC34" s="92"/>
    </row>
    <row r="35" spans="1:29" ht="12.75" customHeight="1">
      <c r="A35" s="54"/>
      <c r="B35" s="66"/>
      <c r="C35" s="200" t="s">
        <v>1390</v>
      </c>
      <c r="D35" s="57">
        <v>159</v>
      </c>
      <c r="E35" s="55">
        <f t="shared" si="1"/>
        <v>5.608559974712802</v>
      </c>
      <c r="F35" s="55"/>
      <c r="G35" s="132" t="s">
        <v>2008</v>
      </c>
      <c r="H35" s="134"/>
      <c r="I35" s="92"/>
      <c r="J35" s="92"/>
      <c r="K35" s="92"/>
      <c r="L35" s="92"/>
      <c r="M35" s="92"/>
      <c r="N35" s="92"/>
      <c r="O35" s="92"/>
      <c r="P35" s="92"/>
      <c r="Q35" s="92"/>
      <c r="R35" s="92"/>
      <c r="S35" s="92"/>
      <c r="T35" s="92"/>
      <c r="U35" s="92"/>
      <c r="V35" s="92"/>
      <c r="W35" s="92"/>
      <c r="X35" s="92"/>
      <c r="Y35" s="92"/>
      <c r="Z35" s="92"/>
      <c r="AA35" s="92"/>
      <c r="AB35" s="92"/>
      <c r="AC35" s="92"/>
    </row>
    <row r="36" spans="1:36" ht="12.75" customHeight="1">
      <c r="A36" s="54"/>
      <c r="B36" s="66"/>
      <c r="C36" s="200" t="s">
        <v>1390</v>
      </c>
      <c r="D36" s="54">
        <v>55</v>
      </c>
      <c r="E36" s="55">
        <f t="shared" si="1"/>
        <v>1.9400679157811578</v>
      </c>
      <c r="F36" s="55"/>
      <c r="G36" s="132" t="s">
        <v>510</v>
      </c>
      <c r="H36" s="92"/>
      <c r="I36" s="92"/>
      <c r="J36" s="139"/>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row>
    <row r="37" spans="1:29" ht="12.75" customHeight="1">
      <c r="A37" s="54"/>
      <c r="B37" s="66"/>
      <c r="C37" s="200" t="s">
        <v>1390</v>
      </c>
      <c r="D37" s="61">
        <v>44</v>
      </c>
      <c r="E37" s="55">
        <f t="shared" si="1"/>
        <v>1.5520543326249263</v>
      </c>
      <c r="F37" s="55"/>
      <c r="G37" s="243" t="s">
        <v>1634</v>
      </c>
      <c r="H37" s="92"/>
      <c r="I37" s="92"/>
      <c r="J37" s="92"/>
      <c r="K37" s="92"/>
      <c r="L37" s="92"/>
      <c r="M37" s="92"/>
      <c r="N37" s="92"/>
      <c r="O37" s="92"/>
      <c r="P37" s="92"/>
      <c r="Q37" s="92"/>
      <c r="R37" s="92"/>
      <c r="S37" s="92"/>
      <c r="T37" s="92"/>
      <c r="U37" s="92"/>
      <c r="V37" s="92"/>
      <c r="W37" s="92"/>
      <c r="X37" s="92"/>
      <c r="Y37" s="92"/>
      <c r="Z37" s="92"/>
      <c r="AA37" s="92"/>
      <c r="AB37" s="92"/>
      <c r="AC37" s="92"/>
    </row>
    <row r="38" spans="1:29" ht="12.75" customHeight="1">
      <c r="A38" s="54"/>
      <c r="B38" s="66"/>
      <c r="C38" s="200" t="s">
        <v>1390</v>
      </c>
      <c r="D38" s="57">
        <v>60</v>
      </c>
      <c r="E38" s="55">
        <f t="shared" si="1"/>
        <v>2.116437726306718</v>
      </c>
      <c r="F38" s="55"/>
      <c r="G38" s="238" t="s">
        <v>23</v>
      </c>
      <c r="H38" s="92"/>
      <c r="I38" s="92"/>
      <c r="J38" s="92"/>
      <c r="K38" s="92"/>
      <c r="L38" s="92"/>
      <c r="M38" s="92"/>
      <c r="N38" s="92"/>
      <c r="O38" s="92"/>
      <c r="P38" s="92"/>
      <c r="Q38" s="92"/>
      <c r="R38" s="92"/>
      <c r="S38" s="92"/>
      <c r="T38" s="92"/>
      <c r="U38" s="92"/>
      <c r="V38" s="92"/>
      <c r="W38" s="92"/>
      <c r="X38" s="92"/>
      <c r="Y38" s="92"/>
      <c r="Z38" s="92"/>
      <c r="AA38" s="92"/>
      <c r="AB38" s="92"/>
      <c r="AC38" s="92"/>
    </row>
    <row r="39" spans="1:29" ht="12.75" customHeight="1">
      <c r="A39" s="54"/>
      <c r="B39" s="66"/>
      <c r="C39" s="200" t="s">
        <v>1390</v>
      </c>
      <c r="D39" s="147">
        <v>24</v>
      </c>
      <c r="E39" s="55">
        <f t="shared" si="1"/>
        <v>0.8465750905226871</v>
      </c>
      <c r="F39" s="160"/>
      <c r="G39" s="241" t="s">
        <v>321</v>
      </c>
      <c r="H39" s="92"/>
      <c r="I39" s="92"/>
      <c r="J39" s="92"/>
      <c r="K39" s="92"/>
      <c r="L39" s="92"/>
      <c r="M39" s="92"/>
      <c r="N39" s="92"/>
      <c r="O39" s="92"/>
      <c r="P39" s="92"/>
      <c r="Q39" s="92"/>
      <c r="R39" s="92"/>
      <c r="S39" s="92"/>
      <c r="T39" s="92"/>
      <c r="U39" s="92"/>
      <c r="V39" s="92"/>
      <c r="W39" s="92"/>
      <c r="X39" s="92"/>
      <c r="Y39" s="92"/>
      <c r="Z39" s="92"/>
      <c r="AA39" s="92"/>
      <c r="AB39" s="92"/>
      <c r="AC39" s="92"/>
    </row>
    <row r="40" spans="1:29" ht="12.75" customHeight="1">
      <c r="A40" s="54"/>
      <c r="B40" s="66"/>
      <c r="C40" s="200" t="s">
        <v>1390</v>
      </c>
      <c r="D40" s="54">
        <v>36</v>
      </c>
      <c r="E40" s="55">
        <f t="shared" si="1"/>
        <v>1.2698626357840306</v>
      </c>
      <c r="F40" s="55"/>
      <c r="G40" s="242" t="s">
        <v>322</v>
      </c>
      <c r="H40" s="92"/>
      <c r="I40" s="92"/>
      <c r="J40" s="92"/>
      <c r="K40" s="92"/>
      <c r="L40" s="92"/>
      <c r="M40" s="92"/>
      <c r="N40" s="92"/>
      <c r="O40" s="92"/>
      <c r="P40" s="92"/>
      <c r="Q40" s="92"/>
      <c r="R40" s="92"/>
      <c r="S40" s="92"/>
      <c r="T40" s="92"/>
      <c r="U40" s="92"/>
      <c r="V40" s="92"/>
      <c r="W40" s="92"/>
      <c r="X40" s="92"/>
      <c r="Y40" s="92"/>
      <c r="Z40" s="92"/>
      <c r="AA40" s="92"/>
      <c r="AB40" s="92"/>
      <c r="AC40" s="92"/>
    </row>
    <row r="41" spans="1:9" ht="12.75" customHeight="1">
      <c r="A41" s="54"/>
      <c r="B41" s="66"/>
      <c r="C41" s="66" t="s">
        <v>1381</v>
      </c>
      <c r="D41" s="57">
        <v>163</v>
      </c>
      <c r="E41" s="55">
        <f aca="true" t="shared" si="2" ref="E41:E79">D41/28.349523</f>
        <v>5.749655823133249</v>
      </c>
      <c r="F41" s="55">
        <f>E41/16</f>
        <v>0.3593534889458281</v>
      </c>
      <c r="G41" s="236" t="s">
        <v>1665</v>
      </c>
      <c r="H41" s="134"/>
      <c r="I41" s="92"/>
    </row>
    <row r="42" spans="1:29" ht="12.75" customHeight="1">
      <c r="A42" s="54"/>
      <c r="B42" s="66"/>
      <c r="C42" s="66" t="s">
        <v>1384</v>
      </c>
      <c r="D42" s="57">
        <v>57</v>
      </c>
      <c r="E42" s="55">
        <f t="shared" si="2"/>
        <v>2.010615839991382</v>
      </c>
      <c r="F42" s="55"/>
      <c r="G42" s="63" t="s">
        <v>1315</v>
      </c>
      <c r="H42" s="92"/>
      <c r="I42" s="92"/>
      <c r="J42" s="92"/>
      <c r="K42" s="92"/>
      <c r="L42" s="92"/>
      <c r="M42" s="92"/>
      <c r="N42" s="92"/>
      <c r="O42" s="92"/>
      <c r="P42" s="92"/>
      <c r="Q42" s="92"/>
      <c r="R42" s="92"/>
      <c r="S42" s="92"/>
      <c r="T42" s="92"/>
      <c r="U42" s="92"/>
      <c r="V42" s="92"/>
      <c r="W42" s="92"/>
      <c r="X42" s="92"/>
      <c r="Y42" s="92"/>
      <c r="Z42" s="92"/>
      <c r="AA42" s="92"/>
      <c r="AB42" s="92"/>
      <c r="AC42" s="92"/>
    </row>
    <row r="43" spans="1:29" ht="12.75" customHeight="1">
      <c r="A43" s="54"/>
      <c r="B43" s="66"/>
      <c r="C43" s="66" t="s">
        <v>1390</v>
      </c>
      <c r="D43" s="57">
        <v>44</v>
      </c>
      <c r="E43" s="55">
        <f t="shared" si="2"/>
        <v>1.5520543326249263</v>
      </c>
      <c r="F43" s="55"/>
      <c r="G43" s="132" t="s">
        <v>899</v>
      </c>
      <c r="H43" s="134"/>
      <c r="I43" s="92"/>
      <c r="J43" s="134"/>
      <c r="K43" s="92"/>
      <c r="L43" s="92"/>
      <c r="M43" s="92"/>
      <c r="N43" s="92"/>
      <c r="O43" s="92"/>
      <c r="P43" s="92"/>
      <c r="Q43" s="92"/>
      <c r="R43" s="92"/>
      <c r="S43" s="92"/>
      <c r="T43" s="92"/>
      <c r="U43" s="92"/>
      <c r="V43" s="92"/>
      <c r="W43" s="92"/>
      <c r="X43" s="92"/>
      <c r="Y43" s="92"/>
      <c r="Z43" s="92"/>
      <c r="AA43" s="92"/>
      <c r="AB43" s="92"/>
      <c r="AC43" s="92"/>
    </row>
    <row r="44" spans="1:27" ht="12.75" customHeight="1">
      <c r="A44" s="54"/>
      <c r="B44" s="66"/>
      <c r="C44" s="200" t="s">
        <v>1385</v>
      </c>
      <c r="D44" s="57">
        <v>1865</v>
      </c>
      <c r="E44" s="55">
        <f t="shared" si="2"/>
        <v>65.78593932603381</v>
      </c>
      <c r="F44" s="55">
        <f>E44/16</f>
        <v>4.111621207877113</v>
      </c>
      <c r="G44" s="242" t="s">
        <v>705</v>
      </c>
      <c r="H44" s="134"/>
      <c r="I44" s="92"/>
      <c r="J44" s="92"/>
      <c r="K44" s="134"/>
      <c r="L44" s="134"/>
      <c r="M44" s="92"/>
      <c r="N44" s="92"/>
      <c r="O44" s="92"/>
      <c r="P44" s="92"/>
      <c r="Q44" s="92"/>
      <c r="R44" s="92"/>
      <c r="S44" s="92"/>
      <c r="T44" s="92"/>
      <c r="U44" s="92"/>
      <c r="V44" s="92"/>
      <c r="W44" s="92"/>
      <c r="X44" s="92"/>
      <c r="Y44" s="92"/>
      <c r="Z44" s="92"/>
      <c r="AA44" s="92"/>
    </row>
    <row r="45" spans="1:27" ht="12.75" customHeight="1">
      <c r="A45" s="54"/>
      <c r="B45" s="66"/>
      <c r="C45" s="66" t="s">
        <v>621</v>
      </c>
      <c r="D45" s="61">
        <v>158</v>
      </c>
      <c r="E45" s="55">
        <f t="shared" si="2"/>
        <v>5.5732860126076895</v>
      </c>
      <c r="F45" s="55">
        <f>E45/16</f>
        <v>0.3483303757879806</v>
      </c>
      <c r="G45" s="242" t="s">
        <v>2117</v>
      </c>
      <c r="H45" s="134"/>
      <c r="I45" s="92"/>
      <c r="J45" s="92"/>
      <c r="K45" s="92"/>
      <c r="L45" s="92"/>
      <c r="M45" s="92"/>
      <c r="N45" s="92"/>
      <c r="O45" s="92"/>
      <c r="P45" s="92"/>
      <c r="Q45" s="92"/>
      <c r="R45" s="92"/>
      <c r="S45" s="92"/>
      <c r="T45" s="92"/>
      <c r="U45" s="92"/>
      <c r="V45" s="92"/>
      <c r="W45" s="92"/>
      <c r="X45" s="92"/>
      <c r="Y45" s="92"/>
      <c r="Z45" s="92"/>
      <c r="AA45" s="92"/>
    </row>
    <row r="46" spans="1:27" ht="12.75" customHeight="1">
      <c r="A46" s="54"/>
      <c r="B46" s="66"/>
      <c r="C46" s="66" t="s">
        <v>621</v>
      </c>
      <c r="D46" s="61">
        <v>362</v>
      </c>
      <c r="E46" s="55">
        <f t="shared" si="2"/>
        <v>12.76917428205053</v>
      </c>
      <c r="F46" s="55">
        <f>E46/16</f>
        <v>0.7980733926281581</v>
      </c>
      <c r="G46" s="244" t="s">
        <v>1831</v>
      </c>
      <c r="H46" s="92"/>
      <c r="I46" s="92"/>
      <c r="J46" s="92"/>
      <c r="K46" s="92"/>
      <c r="L46" s="92"/>
      <c r="M46" s="92"/>
      <c r="N46" s="92"/>
      <c r="O46" s="92"/>
      <c r="P46" s="92"/>
      <c r="Q46" s="92"/>
      <c r="R46" s="92"/>
      <c r="S46" s="92"/>
      <c r="T46" s="92"/>
      <c r="U46" s="92"/>
      <c r="V46" s="92"/>
      <c r="W46" s="92"/>
      <c r="X46" s="92"/>
      <c r="Y46" s="92"/>
      <c r="Z46" s="92"/>
      <c r="AA46" s="92"/>
    </row>
    <row r="47" spans="1:29" ht="12.75" customHeight="1">
      <c r="A47" s="54"/>
      <c r="B47" s="66"/>
      <c r="C47" s="66" t="s">
        <v>1384</v>
      </c>
      <c r="D47" s="54">
        <v>64</v>
      </c>
      <c r="E47" s="55">
        <f t="shared" si="2"/>
        <v>2.2575335747271654</v>
      </c>
      <c r="F47" s="54"/>
      <c r="G47" s="132" t="s">
        <v>1767</v>
      </c>
      <c r="H47" s="92"/>
      <c r="I47" s="92"/>
      <c r="J47" s="92"/>
      <c r="K47" s="92"/>
      <c r="L47" s="92"/>
      <c r="M47" s="92"/>
      <c r="N47" s="92"/>
      <c r="O47" s="92"/>
      <c r="P47" s="92"/>
      <c r="Q47" s="92"/>
      <c r="R47" s="92"/>
      <c r="S47" s="92"/>
      <c r="T47" s="92"/>
      <c r="U47" s="92"/>
      <c r="V47" s="92"/>
      <c r="W47" s="92"/>
      <c r="X47" s="92"/>
      <c r="Y47" s="92"/>
      <c r="Z47" s="92"/>
      <c r="AA47" s="92"/>
      <c r="AB47" s="92"/>
      <c r="AC47" s="92"/>
    </row>
    <row r="48" spans="1:29" ht="12.75" customHeight="1">
      <c r="A48" s="54"/>
      <c r="B48" s="66"/>
      <c r="C48" s="66" t="s">
        <v>1383</v>
      </c>
      <c r="D48" s="57">
        <v>102</v>
      </c>
      <c r="E48" s="55">
        <f t="shared" si="2"/>
        <v>3.59794413472142</v>
      </c>
      <c r="F48" s="55"/>
      <c r="G48" s="132" t="s">
        <v>1682</v>
      </c>
      <c r="H48" s="134"/>
      <c r="I48" s="92"/>
      <c r="J48" s="134"/>
      <c r="K48" s="92"/>
      <c r="L48" s="92"/>
      <c r="M48" s="92"/>
      <c r="N48" s="92"/>
      <c r="O48" s="92"/>
      <c r="P48" s="92"/>
      <c r="Q48" s="92"/>
      <c r="R48" s="92"/>
      <c r="S48" s="92"/>
      <c r="T48" s="92"/>
      <c r="U48" s="92"/>
      <c r="V48" s="92"/>
      <c r="W48" s="92"/>
      <c r="X48" s="92"/>
      <c r="Y48" s="92"/>
      <c r="Z48" s="92"/>
      <c r="AA48" s="92"/>
      <c r="AB48" s="92"/>
      <c r="AC48" s="92"/>
    </row>
    <row r="49" spans="1:9" ht="12.75" customHeight="1">
      <c r="A49" s="54"/>
      <c r="B49" s="66"/>
      <c r="C49" s="66" t="s">
        <v>1381</v>
      </c>
      <c r="D49" s="57">
        <v>251</v>
      </c>
      <c r="E49" s="55">
        <f t="shared" si="2"/>
        <v>8.853764488383103</v>
      </c>
      <c r="F49" s="55">
        <f aca="true" t="shared" si="3" ref="F49:F54">E49/16</f>
        <v>0.5533602805239439</v>
      </c>
      <c r="G49" s="236" t="s">
        <v>1382</v>
      </c>
      <c r="H49" s="134"/>
      <c r="I49" s="92"/>
    </row>
    <row r="50" spans="1:29" ht="12.75" customHeight="1">
      <c r="A50" s="54"/>
      <c r="B50" s="66"/>
      <c r="C50" s="66" t="s">
        <v>1381</v>
      </c>
      <c r="D50" s="57">
        <f>746+747</f>
        <v>1493</v>
      </c>
      <c r="E50" s="55">
        <f t="shared" si="2"/>
        <v>52.664025422932156</v>
      </c>
      <c r="F50" s="55">
        <f t="shared" si="3"/>
        <v>3.2915015889332597</v>
      </c>
      <c r="G50" s="238" t="s">
        <v>1491</v>
      </c>
      <c r="H50" s="134"/>
      <c r="I50" s="92"/>
      <c r="J50" s="134"/>
      <c r="K50" s="92"/>
      <c r="L50" s="92"/>
      <c r="M50" s="92"/>
      <c r="N50" s="92"/>
      <c r="O50" s="92"/>
      <c r="P50" s="92"/>
      <c r="Q50" s="92"/>
      <c r="R50" s="92"/>
      <c r="S50" s="92"/>
      <c r="T50" s="92"/>
      <c r="U50" s="92"/>
      <c r="V50" s="92"/>
      <c r="W50" s="92"/>
      <c r="X50" s="92"/>
      <c r="Y50" s="92"/>
      <c r="Z50" s="92"/>
      <c r="AA50" s="92"/>
      <c r="AB50" s="92"/>
      <c r="AC50" s="92"/>
    </row>
    <row r="51" spans="1:29" ht="12.75" customHeight="1">
      <c r="A51" s="54"/>
      <c r="B51" s="66"/>
      <c r="C51" s="66" t="s">
        <v>1381</v>
      </c>
      <c r="D51" s="57">
        <v>634</v>
      </c>
      <c r="E51" s="55">
        <f t="shared" si="2"/>
        <v>22.363691974640982</v>
      </c>
      <c r="F51" s="55">
        <f t="shared" si="3"/>
        <v>1.3977307484150614</v>
      </c>
      <c r="G51" s="242" t="s">
        <v>2118</v>
      </c>
      <c r="H51" s="92"/>
      <c r="I51" s="92"/>
      <c r="J51" s="92"/>
      <c r="K51" s="92"/>
      <c r="L51" s="92"/>
      <c r="M51" s="92"/>
      <c r="N51" s="92"/>
      <c r="O51" s="92"/>
      <c r="P51" s="92"/>
      <c r="Q51" s="92"/>
      <c r="R51" s="92"/>
      <c r="S51" s="92"/>
      <c r="T51" s="92"/>
      <c r="U51" s="92"/>
      <c r="V51" s="92"/>
      <c r="W51" s="92"/>
      <c r="X51" s="92"/>
      <c r="Y51" s="92"/>
      <c r="Z51" s="92"/>
      <c r="AA51" s="92"/>
      <c r="AB51" s="92"/>
      <c r="AC51" s="92"/>
    </row>
    <row r="52" spans="1:29" ht="12.75" customHeight="1">
      <c r="A52" s="54"/>
      <c r="B52" s="66"/>
      <c r="C52" s="66" t="s">
        <v>1381</v>
      </c>
      <c r="D52" s="57">
        <v>408</v>
      </c>
      <c r="E52" s="55">
        <f t="shared" si="2"/>
        <v>14.39177653888568</v>
      </c>
      <c r="F52" s="55">
        <f t="shared" si="3"/>
        <v>0.899486033680355</v>
      </c>
      <c r="G52" s="242" t="s">
        <v>2119</v>
      </c>
      <c r="H52" s="134"/>
      <c r="I52" s="92"/>
      <c r="J52" s="92"/>
      <c r="K52" s="92"/>
      <c r="L52" s="92"/>
      <c r="M52" s="92"/>
      <c r="N52" s="92"/>
      <c r="O52" s="92"/>
      <c r="P52" s="92"/>
      <c r="Q52" s="92"/>
      <c r="R52" s="92"/>
      <c r="S52" s="92"/>
      <c r="T52" s="92"/>
      <c r="U52" s="92"/>
      <c r="V52" s="92"/>
      <c r="W52" s="92"/>
      <c r="X52" s="92"/>
      <c r="Y52" s="92"/>
      <c r="Z52" s="92"/>
      <c r="AA52" s="92"/>
      <c r="AB52" s="92"/>
      <c r="AC52" s="92"/>
    </row>
    <row r="53" spans="1:29" ht="12.75" customHeight="1">
      <c r="A53" s="54"/>
      <c r="B53" s="66"/>
      <c r="C53" s="66" t="s">
        <v>1381</v>
      </c>
      <c r="D53" s="234">
        <v>338</v>
      </c>
      <c r="E53" s="55">
        <f t="shared" si="2"/>
        <v>11.922599191527842</v>
      </c>
      <c r="F53" s="55">
        <f t="shared" si="3"/>
        <v>0.7451624494704902</v>
      </c>
      <c r="G53" s="238" t="s">
        <v>1905</v>
      </c>
      <c r="H53" s="134"/>
      <c r="I53" s="92"/>
      <c r="J53" s="92"/>
      <c r="K53" s="92"/>
      <c r="L53" s="92"/>
      <c r="M53" s="92"/>
      <c r="N53" s="230"/>
      <c r="O53" s="92"/>
      <c r="P53" s="92"/>
      <c r="Q53" s="92"/>
      <c r="R53" s="92"/>
      <c r="S53" s="92"/>
      <c r="T53" s="92"/>
      <c r="U53" s="92"/>
      <c r="V53" s="92"/>
      <c r="W53" s="92"/>
      <c r="X53" s="92"/>
      <c r="Y53" s="92"/>
      <c r="Z53" s="92"/>
      <c r="AA53" s="92"/>
      <c r="AB53" s="92"/>
      <c r="AC53" s="92"/>
    </row>
    <row r="54" spans="1:7" ht="12.75" customHeight="1">
      <c r="A54" s="54"/>
      <c r="B54" s="66"/>
      <c r="C54" s="66" t="s">
        <v>1379</v>
      </c>
      <c r="D54" s="57">
        <v>651</v>
      </c>
      <c r="E54" s="55">
        <f aca="true" t="shared" si="4" ref="E54:E63">D54/28.349523</f>
        <v>22.963349330427885</v>
      </c>
      <c r="F54" s="55">
        <f t="shared" si="3"/>
        <v>1.4352093331517428</v>
      </c>
      <c r="G54" s="56" t="s">
        <v>1380</v>
      </c>
    </row>
    <row r="55" spans="1:10" ht="12.75" customHeight="1">
      <c r="A55" s="54"/>
      <c r="B55" s="66"/>
      <c r="C55" s="200" t="s">
        <v>1384</v>
      </c>
      <c r="D55" s="57">
        <v>50</v>
      </c>
      <c r="E55" s="55">
        <f t="shared" si="4"/>
        <v>1.763698105255598</v>
      </c>
      <c r="F55" s="55"/>
      <c r="G55" s="97" t="s">
        <v>620</v>
      </c>
      <c r="H55" s="92"/>
      <c r="J55" s="12"/>
    </row>
    <row r="56" spans="1:10" ht="12.75" customHeight="1">
      <c r="A56" s="54"/>
      <c r="B56" s="66"/>
      <c r="C56" s="66" t="s">
        <v>1384</v>
      </c>
      <c r="D56" s="57">
        <v>72</v>
      </c>
      <c r="E56" s="55">
        <f t="shared" si="4"/>
        <v>2.539725271568061</v>
      </c>
      <c r="F56" s="55"/>
      <c r="G56" s="238" t="s">
        <v>1391</v>
      </c>
      <c r="H56" s="92"/>
      <c r="J56" s="13"/>
    </row>
    <row r="57" spans="1:10" ht="12.75" customHeight="1">
      <c r="A57" s="54"/>
      <c r="B57" s="66"/>
      <c r="C57" s="66" t="s">
        <v>1389</v>
      </c>
      <c r="D57" s="57">
        <v>88</v>
      </c>
      <c r="E57" s="55">
        <f t="shared" si="4"/>
        <v>3.1041086652498526</v>
      </c>
      <c r="F57" s="55"/>
      <c r="G57" s="238" t="s">
        <v>1899</v>
      </c>
      <c r="H57" s="92"/>
      <c r="J57" s="13"/>
    </row>
    <row r="58" spans="1:8" ht="12.75" customHeight="1">
      <c r="A58" s="54"/>
      <c r="B58" s="66"/>
      <c r="C58" s="200" t="s">
        <v>1390</v>
      </c>
      <c r="D58" s="57">
        <v>88</v>
      </c>
      <c r="E58" s="55">
        <f t="shared" si="4"/>
        <v>3.1041086652498526</v>
      </c>
      <c r="F58" s="55"/>
      <c r="G58" s="27" t="s">
        <v>1900</v>
      </c>
      <c r="H58" s="134"/>
    </row>
    <row r="59" spans="1:10" ht="12.75" customHeight="1">
      <c r="A59" s="54"/>
      <c r="B59" s="66"/>
      <c r="C59" s="66" t="s">
        <v>1383</v>
      </c>
      <c r="D59" s="57">
        <v>21</v>
      </c>
      <c r="E59" s="55">
        <f t="shared" si="4"/>
        <v>0.7407532042073511</v>
      </c>
      <c r="F59" s="55"/>
      <c r="G59" s="238" t="s">
        <v>1375</v>
      </c>
      <c r="H59" s="92"/>
      <c r="J59" s="12"/>
    </row>
    <row r="60" spans="1:8" ht="12.75" customHeight="1">
      <c r="A60" s="54"/>
      <c r="B60" s="66"/>
      <c r="C60" s="66" t="s">
        <v>1384</v>
      </c>
      <c r="D60" s="61">
        <v>52</v>
      </c>
      <c r="E60" s="55">
        <f t="shared" si="4"/>
        <v>1.834246029465822</v>
      </c>
      <c r="F60" s="55">
        <f>E60/16</f>
        <v>0.11464037684161388</v>
      </c>
      <c r="G60" s="236" t="s">
        <v>127</v>
      </c>
      <c r="H60" s="92"/>
    </row>
    <row r="61" spans="1:10" ht="12.75" customHeight="1">
      <c r="A61" s="54"/>
      <c r="B61" s="66"/>
      <c r="C61" s="66" t="s">
        <v>1384</v>
      </c>
      <c r="D61" s="57">
        <v>12</v>
      </c>
      <c r="E61" s="55">
        <f t="shared" si="4"/>
        <v>0.42328754526134355</v>
      </c>
      <c r="F61" s="55"/>
      <c r="G61" s="238" t="s">
        <v>1902</v>
      </c>
      <c r="H61" s="92"/>
      <c r="J61" s="13"/>
    </row>
    <row r="62" spans="1:8" ht="12.75" customHeight="1">
      <c r="A62" s="54"/>
      <c r="B62" s="66"/>
      <c r="C62" s="66" t="s">
        <v>1384</v>
      </c>
      <c r="D62" s="234">
        <v>35</v>
      </c>
      <c r="E62" s="55">
        <f t="shared" si="4"/>
        <v>1.2345886736789187</v>
      </c>
      <c r="F62" s="55">
        <f>E62/16</f>
        <v>0.07716179210493242</v>
      </c>
      <c r="G62" s="238" t="s">
        <v>1903</v>
      </c>
      <c r="H62" s="134"/>
    </row>
    <row r="63" spans="1:8" ht="12.75" customHeight="1">
      <c r="A63" s="54"/>
      <c r="B63" s="66"/>
      <c r="C63" s="66"/>
      <c r="D63" s="54">
        <v>18</v>
      </c>
      <c r="E63" s="55">
        <f t="shared" si="4"/>
        <v>0.6349313178920153</v>
      </c>
      <c r="F63" s="54"/>
      <c r="G63" s="236" t="s">
        <v>432</v>
      </c>
      <c r="H63" s="92"/>
    </row>
    <row r="64" spans="1:8" ht="12.75" customHeight="1">
      <c r="A64" s="54"/>
      <c r="B64" s="66"/>
      <c r="C64" s="66" t="s">
        <v>1775</v>
      </c>
      <c r="D64" s="100">
        <v>134</v>
      </c>
      <c r="E64" s="55">
        <f t="shared" si="2"/>
        <v>4.726710922085003</v>
      </c>
      <c r="F64" s="55">
        <f>E64/16</f>
        <v>0.2954194326303127</v>
      </c>
      <c r="G64" s="132" t="s">
        <v>1369</v>
      </c>
      <c r="H64" s="138"/>
    </row>
    <row r="65" spans="1:29" ht="12" customHeight="1">
      <c r="A65" s="54"/>
      <c r="B65" s="66"/>
      <c r="C65" s="66" t="s">
        <v>1775</v>
      </c>
      <c r="D65" s="54">
        <v>19</v>
      </c>
      <c r="E65" s="55">
        <f t="shared" si="2"/>
        <v>0.6702052799971272</v>
      </c>
      <c r="F65" s="54"/>
      <c r="G65" s="132" t="s">
        <v>941</v>
      </c>
      <c r="H65" s="92"/>
      <c r="I65" s="92"/>
      <c r="J65" s="92"/>
      <c r="K65" s="92"/>
      <c r="L65" s="92"/>
      <c r="M65" s="92"/>
      <c r="N65" s="92"/>
      <c r="O65" s="92"/>
      <c r="P65" s="92"/>
      <c r="Q65" s="92"/>
      <c r="R65" s="92"/>
      <c r="S65" s="92"/>
      <c r="T65" s="92"/>
      <c r="U65" s="92"/>
      <c r="V65" s="92"/>
      <c r="W65" s="92"/>
      <c r="X65" s="92"/>
      <c r="Y65" s="92"/>
      <c r="Z65" s="92"/>
      <c r="AA65" s="92"/>
      <c r="AB65" s="92"/>
      <c r="AC65" s="92"/>
    </row>
    <row r="66" spans="1:29" ht="12" customHeight="1">
      <c r="A66" s="54"/>
      <c r="B66" s="66"/>
      <c r="C66" s="66" t="s">
        <v>1897</v>
      </c>
      <c r="D66" s="57">
        <f>SUM(D2:D65)</f>
        <v>13853.5513885</v>
      </c>
      <c r="E66" s="57">
        <f t="shared" si="2"/>
        <v>488.6696466991702</v>
      </c>
      <c r="F66" s="55">
        <f>E66/16</f>
        <v>30.541852918698137</v>
      </c>
      <c r="G66" s="132"/>
      <c r="H66" s="92"/>
      <c r="I66" s="92"/>
      <c r="J66" s="92"/>
      <c r="K66" s="92"/>
      <c r="L66" s="92"/>
      <c r="M66" s="92"/>
      <c r="N66" s="92"/>
      <c r="O66" s="92"/>
      <c r="P66" s="92"/>
      <c r="Q66" s="92"/>
      <c r="R66" s="92"/>
      <c r="S66" s="92"/>
      <c r="T66" s="92"/>
      <c r="U66" s="92"/>
      <c r="V66" s="92"/>
      <c r="W66" s="92"/>
      <c r="X66" s="92"/>
      <c r="Y66" s="92"/>
      <c r="Z66" s="92"/>
      <c r="AA66" s="92"/>
      <c r="AB66" s="92"/>
      <c r="AC66" s="92"/>
    </row>
    <row r="67" spans="1:29" ht="12.75" customHeight="1">
      <c r="A67" s="54"/>
      <c r="B67" s="66"/>
      <c r="C67" s="66" t="s">
        <v>2009</v>
      </c>
      <c r="D67" s="54">
        <v>29</v>
      </c>
      <c r="E67" s="55">
        <f t="shared" si="2"/>
        <v>1.0229449010482468</v>
      </c>
      <c r="F67" s="54"/>
      <c r="G67" s="132" t="s">
        <v>657</v>
      </c>
      <c r="H67" s="92"/>
      <c r="I67" s="92"/>
      <c r="J67" s="92"/>
      <c r="K67" s="92"/>
      <c r="L67" s="92"/>
      <c r="M67" s="92"/>
      <c r="N67" s="92"/>
      <c r="O67" s="92"/>
      <c r="P67" s="92"/>
      <c r="Q67" s="92"/>
      <c r="R67" s="92"/>
      <c r="S67" s="92"/>
      <c r="T67" s="92"/>
      <c r="U67" s="92"/>
      <c r="V67" s="92"/>
      <c r="W67" s="92"/>
      <c r="X67" s="92"/>
      <c r="Y67" s="92"/>
      <c r="Z67" s="92"/>
      <c r="AA67" s="92"/>
      <c r="AB67" s="92"/>
      <c r="AC67" s="92"/>
    </row>
    <row r="68" spans="1:29" ht="12.75" customHeight="1">
      <c r="A68" s="54"/>
      <c r="B68" s="66"/>
      <c r="C68" s="200" t="s">
        <v>2009</v>
      </c>
      <c r="D68" s="57">
        <v>270</v>
      </c>
      <c r="E68" s="55">
        <f t="shared" si="2"/>
        <v>9.52396976838023</v>
      </c>
      <c r="F68" s="55">
        <f>E68/16</f>
        <v>0.5952481105237644</v>
      </c>
      <c r="G68" s="240" t="s">
        <v>34</v>
      </c>
      <c r="H68" s="92"/>
      <c r="I68" s="92"/>
      <c r="J68" s="92"/>
      <c r="K68" s="92"/>
      <c r="L68" s="92"/>
      <c r="M68" s="92"/>
      <c r="N68" s="92"/>
      <c r="O68" s="92"/>
      <c r="P68" s="92"/>
      <c r="Q68" s="92"/>
      <c r="R68" s="92"/>
      <c r="S68" s="92"/>
      <c r="T68" s="92"/>
      <c r="U68" s="92"/>
      <c r="V68" s="92"/>
      <c r="W68" s="92"/>
      <c r="X68" s="92"/>
      <c r="Y68" s="92"/>
      <c r="Z68" s="92"/>
      <c r="AA68" s="92"/>
      <c r="AB68" s="92"/>
      <c r="AC68" s="92"/>
    </row>
    <row r="69" spans="1:29" ht="12.75" customHeight="1">
      <c r="A69" s="54"/>
      <c r="B69" s="66"/>
      <c r="C69" s="66" t="s">
        <v>2009</v>
      </c>
      <c r="D69" s="57">
        <v>324</v>
      </c>
      <c r="E69" s="55">
        <f t="shared" si="2"/>
        <v>11.428763722056276</v>
      </c>
      <c r="F69" s="55">
        <f>E69/16</f>
        <v>0.7142977326285173</v>
      </c>
      <c r="G69" s="132" t="s">
        <v>2014</v>
      </c>
      <c r="H69" s="134"/>
      <c r="I69" s="92"/>
      <c r="J69" s="92"/>
      <c r="K69" s="92"/>
      <c r="L69" s="92"/>
      <c r="M69" s="92"/>
      <c r="N69" s="92"/>
      <c r="O69" s="92"/>
      <c r="P69" s="92"/>
      <c r="Q69" s="92"/>
      <c r="R69" s="92"/>
      <c r="S69" s="92"/>
      <c r="T69" s="92"/>
      <c r="U69" s="92"/>
      <c r="V69" s="92"/>
      <c r="W69" s="92"/>
      <c r="X69" s="92"/>
      <c r="Y69" s="92"/>
      <c r="Z69" s="92"/>
      <c r="AA69" s="92"/>
      <c r="AB69" s="92"/>
      <c r="AC69" s="92"/>
    </row>
    <row r="70" spans="1:29" ht="12.75" customHeight="1">
      <c r="A70" s="54"/>
      <c r="B70" s="66"/>
      <c r="C70" s="200" t="s">
        <v>2009</v>
      </c>
      <c r="D70" s="54">
        <v>107</v>
      </c>
      <c r="E70" s="55">
        <f t="shared" si="2"/>
        <v>3.7743139452469796</v>
      </c>
      <c r="F70" s="55"/>
      <c r="G70" s="132" t="s">
        <v>658</v>
      </c>
      <c r="H70" s="92"/>
      <c r="I70" s="92"/>
      <c r="J70" s="92"/>
      <c r="K70" s="92"/>
      <c r="L70" s="92"/>
      <c r="M70" s="92"/>
      <c r="N70" s="92"/>
      <c r="O70" s="92"/>
      <c r="P70" s="92"/>
      <c r="Q70" s="92"/>
      <c r="R70" s="92"/>
      <c r="S70" s="92"/>
      <c r="T70" s="92"/>
      <c r="U70" s="92"/>
      <c r="V70" s="92"/>
      <c r="W70" s="92"/>
      <c r="X70" s="92"/>
      <c r="Y70" s="92"/>
      <c r="Z70" s="92"/>
      <c r="AA70" s="92"/>
      <c r="AB70" s="92"/>
      <c r="AC70" s="92"/>
    </row>
    <row r="71" spans="1:29" ht="12.75" customHeight="1">
      <c r="A71" s="54"/>
      <c r="B71" s="66"/>
      <c r="C71" s="200" t="s">
        <v>2009</v>
      </c>
      <c r="D71" s="54">
        <v>50</v>
      </c>
      <c r="E71" s="55">
        <f t="shared" si="2"/>
        <v>1.763698105255598</v>
      </c>
      <c r="F71" s="54"/>
      <c r="G71" s="132" t="s">
        <v>137</v>
      </c>
      <c r="H71" s="92"/>
      <c r="I71" s="92"/>
      <c r="J71" s="92"/>
      <c r="K71" s="92"/>
      <c r="L71" s="92"/>
      <c r="M71" s="92"/>
      <c r="N71" s="92"/>
      <c r="O71" s="92"/>
      <c r="P71" s="92"/>
      <c r="Q71" s="92"/>
      <c r="R71" s="92"/>
      <c r="S71" s="92"/>
      <c r="T71" s="92"/>
      <c r="U71" s="92"/>
      <c r="V71" s="92"/>
      <c r="W71" s="92"/>
      <c r="X71" s="92"/>
      <c r="Y71" s="92"/>
      <c r="Z71" s="92"/>
      <c r="AA71" s="92"/>
      <c r="AB71" s="92"/>
      <c r="AC71" s="92"/>
    </row>
    <row r="72" spans="1:9" ht="12.75" customHeight="1">
      <c r="A72" s="54"/>
      <c r="B72" s="66"/>
      <c r="C72" s="200" t="s">
        <v>2009</v>
      </c>
      <c r="D72" s="57">
        <v>219</v>
      </c>
      <c r="E72" s="55">
        <f t="shared" si="2"/>
        <v>7.724997701019519</v>
      </c>
      <c r="F72" s="55">
        <f>E72/16</f>
        <v>0.48281235631371994</v>
      </c>
      <c r="G72" s="132" t="s">
        <v>1904</v>
      </c>
      <c r="H72" s="134"/>
      <c r="I72" s="92"/>
    </row>
    <row r="73" spans="1:29" ht="12.75" customHeight="1">
      <c r="A73" s="54"/>
      <c r="B73" s="66"/>
      <c r="C73" s="200" t="s">
        <v>2009</v>
      </c>
      <c r="D73" s="54">
        <v>35</v>
      </c>
      <c r="E73" s="55">
        <f t="shared" si="2"/>
        <v>1.2345886736789187</v>
      </c>
      <c r="F73" s="55"/>
      <c r="G73" s="242" t="s">
        <v>322</v>
      </c>
      <c r="H73" s="92"/>
      <c r="I73" s="92"/>
      <c r="J73" s="92"/>
      <c r="K73" s="92"/>
      <c r="L73" s="92"/>
      <c r="M73" s="92"/>
      <c r="N73" s="92"/>
      <c r="O73" s="92"/>
      <c r="P73" s="92"/>
      <c r="Q73" s="92"/>
      <c r="R73" s="92"/>
      <c r="S73" s="92"/>
      <c r="T73" s="92"/>
      <c r="U73" s="92"/>
      <c r="V73" s="92"/>
      <c r="W73" s="92"/>
      <c r="X73" s="92"/>
      <c r="Y73" s="92"/>
      <c r="Z73" s="92"/>
      <c r="AA73" s="92"/>
      <c r="AB73" s="92"/>
      <c r="AC73" s="92"/>
    </row>
    <row r="74" spans="1:29" ht="12.75" customHeight="1">
      <c r="A74" s="54"/>
      <c r="B74" s="66"/>
      <c r="C74" s="200" t="s">
        <v>2009</v>
      </c>
      <c r="D74" s="57">
        <v>40</v>
      </c>
      <c r="E74" s="55">
        <f t="shared" si="2"/>
        <v>1.4109584842044784</v>
      </c>
      <c r="F74" s="55"/>
      <c r="G74" s="238" t="s">
        <v>1172</v>
      </c>
      <c r="H74" s="92"/>
      <c r="I74" s="92"/>
      <c r="J74" s="92"/>
      <c r="K74" s="92"/>
      <c r="L74" s="92"/>
      <c r="M74" s="92"/>
      <c r="N74" s="92"/>
      <c r="O74" s="92"/>
      <c r="P74" s="92"/>
      <c r="Q74" s="92"/>
      <c r="R74" s="92"/>
      <c r="S74" s="92"/>
      <c r="T74" s="92"/>
      <c r="U74" s="92"/>
      <c r="V74" s="92"/>
      <c r="W74" s="92"/>
      <c r="X74" s="92"/>
      <c r="Y74" s="92"/>
      <c r="Z74" s="92"/>
      <c r="AA74" s="92"/>
      <c r="AB74" s="92"/>
      <c r="AC74" s="92"/>
    </row>
    <row r="75" spans="1:29" ht="12.75" customHeight="1">
      <c r="A75" s="54"/>
      <c r="B75" s="66"/>
      <c r="C75" s="200" t="s">
        <v>2009</v>
      </c>
      <c r="D75" s="147">
        <v>23</v>
      </c>
      <c r="E75" s="55">
        <f t="shared" si="2"/>
        <v>0.8113011284175751</v>
      </c>
      <c r="F75" s="160"/>
      <c r="G75" s="241" t="s">
        <v>321</v>
      </c>
      <c r="H75" s="92"/>
      <c r="I75" s="92"/>
      <c r="J75" s="92"/>
      <c r="K75" s="92"/>
      <c r="L75" s="92"/>
      <c r="M75" s="92"/>
      <c r="N75" s="92"/>
      <c r="O75" s="92"/>
      <c r="P75" s="92"/>
      <c r="Q75" s="92"/>
      <c r="R75" s="92"/>
      <c r="S75" s="92"/>
      <c r="T75" s="92"/>
      <c r="U75" s="92"/>
      <c r="V75" s="92"/>
      <c r="W75" s="92"/>
      <c r="X75" s="92"/>
      <c r="Y75" s="92"/>
      <c r="Z75" s="92"/>
      <c r="AA75" s="92"/>
      <c r="AB75" s="92"/>
      <c r="AC75" s="92"/>
    </row>
    <row r="76" spans="1:29" ht="12.75" customHeight="1">
      <c r="A76" s="54"/>
      <c r="B76" s="66"/>
      <c r="C76" s="200" t="s">
        <v>2009</v>
      </c>
      <c r="D76" s="57">
        <v>60</v>
      </c>
      <c r="E76" s="55">
        <f t="shared" si="2"/>
        <v>2.116437726306718</v>
      </c>
      <c r="F76" s="55"/>
      <c r="G76" s="238" t="s">
        <v>24</v>
      </c>
      <c r="H76" s="92"/>
      <c r="I76" s="92"/>
      <c r="J76" s="92"/>
      <c r="K76" s="92"/>
      <c r="L76" s="92"/>
      <c r="M76" s="92"/>
      <c r="N76" s="92"/>
      <c r="O76" s="92"/>
      <c r="P76" s="92"/>
      <c r="Q76" s="92"/>
      <c r="R76" s="92"/>
      <c r="S76" s="92"/>
      <c r="T76" s="92"/>
      <c r="U76" s="92"/>
      <c r="V76" s="92"/>
      <c r="W76" s="92"/>
      <c r="X76" s="92"/>
      <c r="Y76" s="92"/>
      <c r="Z76" s="92"/>
      <c r="AA76" s="92"/>
      <c r="AB76" s="92"/>
      <c r="AC76" s="92"/>
    </row>
    <row r="77" spans="1:29" ht="12.75" customHeight="1" thickBot="1">
      <c r="A77" s="54"/>
      <c r="B77" s="66"/>
      <c r="C77" s="73" t="s">
        <v>1410</v>
      </c>
      <c r="D77" s="57">
        <v>1453</v>
      </c>
      <c r="E77" s="55">
        <f t="shared" si="2"/>
        <v>51.25306693872768</v>
      </c>
      <c r="F77" s="55">
        <f>E77/16</f>
        <v>3.20331668367048</v>
      </c>
      <c r="G77" s="238" t="s">
        <v>25</v>
      </c>
      <c r="H77" s="92"/>
      <c r="I77" s="92"/>
      <c r="J77" s="92"/>
      <c r="K77" s="92"/>
      <c r="L77" s="92"/>
      <c r="M77" s="92"/>
      <c r="N77" s="92"/>
      <c r="O77" s="92"/>
      <c r="P77" s="92"/>
      <c r="Q77" s="92"/>
      <c r="R77" s="92"/>
      <c r="S77" s="92"/>
      <c r="T77" s="92"/>
      <c r="U77" s="92"/>
      <c r="V77" s="92"/>
      <c r="W77" s="92"/>
      <c r="X77" s="92"/>
      <c r="Y77" s="92"/>
      <c r="Z77" s="92"/>
      <c r="AA77" s="92"/>
      <c r="AB77" s="92"/>
      <c r="AC77" s="92"/>
    </row>
    <row r="78" spans="1:29" ht="12.75" customHeight="1" thickBot="1">
      <c r="A78" s="54"/>
      <c r="B78" s="66"/>
      <c r="C78" s="253"/>
      <c r="D78" s="103">
        <v>57</v>
      </c>
      <c r="E78" s="55">
        <f t="shared" si="2"/>
        <v>2.010615839991382</v>
      </c>
      <c r="F78" s="55"/>
      <c r="G78" s="132" t="s">
        <v>1194</v>
      </c>
      <c r="H78" s="134"/>
      <c r="I78" s="92"/>
      <c r="J78" s="92"/>
      <c r="K78" s="92"/>
      <c r="L78" s="92"/>
      <c r="M78" s="92"/>
      <c r="N78" s="92"/>
      <c r="O78" s="92"/>
      <c r="P78" s="92"/>
      <c r="Q78" s="92"/>
      <c r="R78" s="92"/>
      <c r="S78" s="92"/>
      <c r="T78" s="92"/>
      <c r="U78" s="92"/>
      <c r="V78" s="92"/>
      <c r="W78" s="92"/>
      <c r="X78" s="92"/>
      <c r="Y78" s="92"/>
      <c r="Z78" s="92"/>
      <c r="AA78" s="92"/>
      <c r="AB78" s="92"/>
      <c r="AC78" s="92"/>
    </row>
    <row r="79" spans="1:29" ht="12.75" customHeight="1">
      <c r="A79" s="54"/>
      <c r="B79" s="66"/>
      <c r="C79" s="202" t="s">
        <v>1898</v>
      </c>
      <c r="D79" s="57">
        <f>SUM(D67:D78)</f>
        <v>2667</v>
      </c>
      <c r="E79" s="55">
        <f t="shared" si="2"/>
        <v>94.0756569343336</v>
      </c>
      <c r="F79" s="55">
        <f>E79/16</f>
        <v>5.87972855839585</v>
      </c>
      <c r="G79" s="126"/>
      <c r="H79" s="92"/>
      <c r="I79" s="92"/>
      <c r="J79" s="92"/>
      <c r="K79" s="92"/>
      <c r="L79" s="92"/>
      <c r="M79" s="92"/>
      <c r="N79" s="92"/>
      <c r="O79" s="92"/>
      <c r="P79" s="92"/>
      <c r="Q79" s="92"/>
      <c r="R79" s="92"/>
      <c r="S79" s="92"/>
      <c r="T79" s="92"/>
      <c r="U79" s="92"/>
      <c r="V79" s="92"/>
      <c r="W79" s="92"/>
      <c r="X79" s="92"/>
      <c r="Y79" s="92"/>
      <c r="Z79" s="92"/>
      <c r="AA79" s="92"/>
      <c r="AB79" s="92"/>
      <c r="AC79" s="92"/>
    </row>
    <row r="80" spans="1:29" ht="12.75" customHeight="1">
      <c r="A80" s="54"/>
      <c r="B80" s="66"/>
      <c r="C80" s="204" t="s">
        <v>1717</v>
      </c>
      <c r="D80" s="54"/>
      <c r="E80" s="55" t="s">
        <v>514</v>
      </c>
      <c r="F80" s="132"/>
      <c r="G80" s="92"/>
      <c r="H80" s="92"/>
      <c r="I80" s="92"/>
      <c r="J80" s="92"/>
      <c r="K80" s="92"/>
      <c r="L80" s="92"/>
      <c r="M80" s="92"/>
      <c r="N80" s="92"/>
      <c r="O80" s="92"/>
      <c r="P80" s="92"/>
      <c r="Q80" s="92"/>
      <c r="R80" s="92"/>
      <c r="S80" s="92"/>
      <c r="T80" s="92"/>
      <c r="U80" s="92"/>
      <c r="V80" s="92"/>
      <c r="W80" s="92"/>
      <c r="X80" s="92"/>
      <c r="Y80" s="92"/>
      <c r="Z80" s="92"/>
      <c r="AA80" s="92"/>
      <c r="AB80" s="92"/>
      <c r="AC80" s="92"/>
    </row>
    <row r="81" spans="1:29" ht="12.75" customHeight="1">
      <c r="A81" s="54"/>
      <c r="B81" s="66"/>
      <c r="C81" s="204" t="s">
        <v>1717</v>
      </c>
      <c r="D81" s="54"/>
      <c r="E81" s="55" t="s">
        <v>513</v>
      </c>
      <c r="F81" s="132"/>
      <c r="G81" s="92"/>
      <c r="H81" s="92"/>
      <c r="I81" s="92"/>
      <c r="J81" s="92"/>
      <c r="K81" s="92"/>
      <c r="L81" s="92"/>
      <c r="M81" s="92"/>
      <c r="N81" s="92"/>
      <c r="O81" s="92"/>
      <c r="P81" s="92"/>
      <c r="Q81" s="92"/>
      <c r="R81" s="92"/>
      <c r="S81" s="92"/>
      <c r="T81" s="92"/>
      <c r="U81" s="92"/>
      <c r="V81" s="92"/>
      <c r="W81" s="92"/>
      <c r="X81" s="92"/>
      <c r="Y81" s="92"/>
      <c r="Z81" s="92"/>
      <c r="AA81" s="92"/>
      <c r="AB81" s="92"/>
      <c r="AC81" s="92"/>
    </row>
    <row r="82" spans="1:29" ht="12.75" customHeight="1">
      <c r="A82" s="54"/>
      <c r="B82" s="66"/>
      <c r="C82" s="204" t="s">
        <v>1717</v>
      </c>
      <c r="D82" s="54"/>
      <c r="E82" s="55" t="s">
        <v>1622</v>
      </c>
      <c r="F82" s="132"/>
      <c r="G82" s="92"/>
      <c r="H82" s="92"/>
      <c r="I82" s="92"/>
      <c r="J82" s="92"/>
      <c r="K82" s="92"/>
      <c r="L82" s="92"/>
      <c r="M82" s="92"/>
      <c r="N82" s="92"/>
      <c r="O82" s="92"/>
      <c r="P82" s="92"/>
      <c r="Q82" s="92"/>
      <c r="R82" s="92"/>
      <c r="S82" s="92"/>
      <c r="T82" s="92"/>
      <c r="U82" s="92"/>
      <c r="V82" s="92"/>
      <c r="W82" s="92"/>
      <c r="X82" s="92"/>
      <c r="Y82" s="92"/>
      <c r="Z82" s="92"/>
      <c r="AA82" s="92"/>
      <c r="AB82" s="92"/>
      <c r="AC82" s="92"/>
    </row>
    <row r="83" spans="1:29" ht="12.75" customHeight="1">
      <c r="A83" s="54"/>
      <c r="B83" s="66"/>
      <c r="C83" s="255" t="s">
        <v>1717</v>
      </c>
      <c r="D83" s="67"/>
      <c r="E83" s="55" t="s">
        <v>1623</v>
      </c>
      <c r="F83" s="132"/>
      <c r="G83" s="92"/>
      <c r="H83" s="92"/>
      <c r="I83" s="92"/>
      <c r="J83" s="92"/>
      <c r="K83" s="92"/>
      <c r="L83" s="92"/>
      <c r="M83" s="92"/>
      <c r="N83" s="92"/>
      <c r="O83" s="92"/>
      <c r="P83" s="92"/>
      <c r="Q83" s="92"/>
      <c r="R83" s="92"/>
      <c r="S83" s="92"/>
      <c r="T83" s="92"/>
      <c r="U83" s="92"/>
      <c r="V83" s="92"/>
      <c r="W83" s="92"/>
      <c r="X83" s="92"/>
      <c r="Y83" s="92"/>
      <c r="Z83" s="92"/>
      <c r="AA83" s="92"/>
      <c r="AB83" s="92"/>
      <c r="AC83" s="92"/>
    </row>
    <row r="84" spans="1:29" ht="12.75" customHeight="1">
      <c r="A84" s="54"/>
      <c r="B84" s="66"/>
      <c r="C84" s="204" t="s">
        <v>1717</v>
      </c>
      <c r="D84" s="57"/>
      <c r="E84" s="55" t="s">
        <v>919</v>
      </c>
      <c r="F84" s="235"/>
      <c r="G84" s="138"/>
      <c r="H84" s="92"/>
      <c r="I84" s="92"/>
      <c r="J84" s="92"/>
      <c r="K84" s="92"/>
      <c r="L84" s="92"/>
      <c r="M84" s="92"/>
      <c r="N84" s="92"/>
      <c r="O84" s="92"/>
      <c r="P84" s="92"/>
      <c r="Q84" s="92"/>
      <c r="R84" s="92"/>
      <c r="S84" s="92"/>
      <c r="T84" s="92"/>
      <c r="U84" s="92"/>
      <c r="V84" s="92"/>
      <c r="W84" s="92"/>
      <c r="X84" s="92"/>
      <c r="Y84" s="92"/>
      <c r="Z84" s="92"/>
      <c r="AA84" s="92"/>
      <c r="AB84" s="92"/>
      <c r="AC84" s="92"/>
    </row>
    <row r="85" spans="1:29" ht="12.75" customHeight="1">
      <c r="A85" s="54"/>
      <c r="B85" s="66"/>
      <c r="C85" s="203" t="s">
        <v>1717</v>
      </c>
      <c r="D85" s="172"/>
      <c r="E85" s="55" t="s">
        <v>1906</v>
      </c>
      <c r="F85" s="132"/>
      <c r="G85" s="92"/>
      <c r="H85" s="92"/>
      <c r="I85" s="92"/>
      <c r="J85" s="92"/>
      <c r="K85" s="92"/>
      <c r="L85" s="92"/>
      <c r="M85" s="92"/>
      <c r="N85" s="92"/>
      <c r="O85" s="92"/>
      <c r="P85" s="92"/>
      <c r="Q85" s="92"/>
      <c r="R85" s="92"/>
      <c r="S85" s="92"/>
      <c r="T85" s="92"/>
      <c r="U85" s="92"/>
      <c r="V85" s="92"/>
      <c r="W85" s="92"/>
      <c r="X85" s="92"/>
      <c r="Y85" s="92"/>
      <c r="Z85" s="92"/>
      <c r="AA85" s="92"/>
      <c r="AB85" s="92"/>
      <c r="AC85" s="92"/>
    </row>
    <row r="86" spans="1:29" ht="12.75" customHeight="1">
      <c r="A86" s="54"/>
      <c r="B86" s="66"/>
      <c r="C86" s="204" t="s">
        <v>1717</v>
      </c>
      <c r="D86" s="54"/>
      <c r="E86" s="160" t="s">
        <v>903</v>
      </c>
      <c r="F86" s="132"/>
      <c r="G86" s="92"/>
      <c r="H86" s="92"/>
      <c r="I86" s="92"/>
      <c r="J86" s="92"/>
      <c r="K86" s="92"/>
      <c r="L86" s="92"/>
      <c r="M86" s="92"/>
      <c r="N86" s="92"/>
      <c r="O86" s="92"/>
      <c r="P86" s="92"/>
      <c r="Q86" s="92"/>
      <c r="R86" s="92"/>
      <c r="S86" s="92"/>
      <c r="T86" s="92"/>
      <c r="U86" s="92"/>
      <c r="V86" s="92"/>
      <c r="W86" s="92"/>
      <c r="X86" s="92"/>
      <c r="Y86" s="92"/>
      <c r="Z86" s="92"/>
      <c r="AA86" s="92"/>
      <c r="AB86" s="92"/>
      <c r="AC86" s="92"/>
    </row>
    <row r="87" spans="1:29" ht="12.75" customHeight="1">
      <c r="A87" s="54"/>
      <c r="B87" s="66"/>
      <c r="C87" s="204" t="s">
        <v>1377</v>
      </c>
      <c r="D87" s="54"/>
      <c r="E87" s="160" t="s">
        <v>923</v>
      </c>
      <c r="F87" s="132"/>
      <c r="G87" s="92"/>
      <c r="H87" s="92"/>
      <c r="I87" s="92"/>
      <c r="J87" s="92"/>
      <c r="K87" s="92"/>
      <c r="L87" s="92"/>
      <c r="M87" s="92"/>
      <c r="N87" s="92"/>
      <c r="O87" s="92"/>
      <c r="P87" s="92"/>
      <c r="Q87" s="92"/>
      <c r="R87" s="92"/>
      <c r="S87" s="92"/>
      <c r="T87" s="92"/>
      <c r="U87" s="92"/>
      <c r="V87" s="92"/>
      <c r="W87" s="92"/>
      <c r="X87" s="92"/>
      <c r="Y87" s="92"/>
      <c r="Z87" s="92"/>
      <c r="AA87" s="92"/>
      <c r="AB87" s="92"/>
      <c r="AC87" s="92"/>
    </row>
    <row r="88" spans="1:29" ht="12.75" customHeight="1">
      <c r="A88" s="54"/>
      <c r="B88" s="66"/>
      <c r="C88" s="204" t="s">
        <v>1410</v>
      </c>
      <c r="D88" s="54"/>
      <c r="E88" s="160" t="s">
        <v>1608</v>
      </c>
      <c r="F88" s="132"/>
      <c r="G88" s="92"/>
      <c r="H88" s="92"/>
      <c r="I88" s="92"/>
      <c r="J88" s="92"/>
      <c r="K88" s="92"/>
      <c r="L88" s="92"/>
      <c r="M88" s="92"/>
      <c r="N88" s="92"/>
      <c r="O88" s="92"/>
      <c r="P88" s="92"/>
      <c r="Q88" s="92"/>
      <c r="R88" s="92"/>
      <c r="S88" s="92"/>
      <c r="T88" s="92"/>
      <c r="U88" s="92"/>
      <c r="V88" s="92"/>
      <c r="W88" s="92"/>
      <c r="X88" s="92"/>
      <c r="Y88" s="92"/>
      <c r="Z88" s="92"/>
      <c r="AA88" s="92"/>
      <c r="AB88" s="92"/>
      <c r="AC88" s="92"/>
    </row>
    <row r="89" spans="1:29" ht="12.75" customHeight="1">
      <c r="A89" s="54"/>
      <c r="B89" s="66"/>
      <c r="C89" s="204" t="s">
        <v>1717</v>
      </c>
      <c r="D89" s="54"/>
      <c r="E89" s="160" t="s">
        <v>221</v>
      </c>
      <c r="F89" s="132"/>
      <c r="G89" s="92"/>
      <c r="H89" s="92"/>
      <c r="I89" s="92"/>
      <c r="J89" s="92"/>
      <c r="K89" s="92"/>
      <c r="L89" s="92"/>
      <c r="M89" s="92"/>
      <c r="N89" s="92"/>
      <c r="O89" s="92"/>
      <c r="P89" s="92"/>
      <c r="Q89" s="92"/>
      <c r="R89" s="92"/>
      <c r="S89" s="92"/>
      <c r="T89" s="92"/>
      <c r="U89" s="92"/>
      <c r="V89" s="92"/>
      <c r="W89" s="92"/>
      <c r="X89" s="92"/>
      <c r="Y89" s="92"/>
      <c r="Z89" s="92"/>
      <c r="AA89" s="92"/>
      <c r="AB89" s="92"/>
      <c r="AC89" s="92"/>
    </row>
    <row r="90" spans="1:29" ht="12.75" customHeight="1">
      <c r="A90" s="54"/>
      <c r="B90" s="66"/>
      <c r="C90" s="204" t="s">
        <v>1377</v>
      </c>
      <c r="D90" s="54"/>
      <c r="E90" s="160" t="s">
        <v>1118</v>
      </c>
      <c r="F90" s="132"/>
      <c r="G90" s="92"/>
      <c r="H90" s="92"/>
      <c r="I90" s="92"/>
      <c r="J90" s="92"/>
      <c r="K90" s="92"/>
      <c r="L90" s="92"/>
      <c r="M90" s="92"/>
      <c r="N90" s="92"/>
      <c r="O90" s="92"/>
      <c r="P90" s="92"/>
      <c r="Q90" s="92"/>
      <c r="R90" s="92"/>
      <c r="S90" s="92"/>
      <c r="T90" s="92"/>
      <c r="U90" s="92"/>
      <c r="V90" s="92"/>
      <c r="W90" s="92"/>
      <c r="X90" s="92"/>
      <c r="Y90" s="92"/>
      <c r="Z90" s="92"/>
      <c r="AA90" s="92"/>
      <c r="AB90" s="92"/>
      <c r="AC90" s="92"/>
    </row>
    <row r="91" spans="1:29" ht="12.75" customHeight="1">
      <c r="A91" s="54"/>
      <c r="B91" s="66"/>
      <c r="C91" s="204" t="s">
        <v>1377</v>
      </c>
      <c r="D91" s="54"/>
      <c r="E91" s="160" t="s">
        <v>1117</v>
      </c>
      <c r="F91" s="132"/>
      <c r="G91" s="92"/>
      <c r="H91" s="92"/>
      <c r="I91" s="92"/>
      <c r="J91" s="92"/>
      <c r="K91" s="92"/>
      <c r="L91" s="92"/>
      <c r="M91" s="92"/>
      <c r="N91" s="92"/>
      <c r="O91" s="92"/>
      <c r="P91" s="92"/>
      <c r="Q91" s="92"/>
      <c r="R91" s="92"/>
      <c r="S91" s="92"/>
      <c r="T91" s="92"/>
      <c r="U91" s="92"/>
      <c r="V91" s="92"/>
      <c r="W91" s="92"/>
      <c r="X91" s="92"/>
      <c r="Y91" s="92"/>
      <c r="Z91" s="92"/>
      <c r="AA91" s="92"/>
      <c r="AB91" s="92"/>
      <c r="AC91" s="92"/>
    </row>
    <row r="92" spans="1:29" ht="12.75" customHeight="1">
      <c r="A92" s="54"/>
      <c r="B92" s="66"/>
      <c r="C92" s="204" t="s">
        <v>1377</v>
      </c>
      <c r="D92" s="54"/>
      <c r="E92" s="160" t="s">
        <v>1913</v>
      </c>
      <c r="F92" s="132"/>
      <c r="G92" s="92"/>
      <c r="H92" s="92"/>
      <c r="I92" s="92"/>
      <c r="J92" s="92"/>
      <c r="K92" s="92"/>
      <c r="L92" s="92"/>
      <c r="M92" s="92"/>
      <c r="N92" s="92"/>
      <c r="O92" s="92"/>
      <c r="P92" s="92"/>
      <c r="Q92" s="92"/>
      <c r="R92" s="92"/>
      <c r="S92" s="92"/>
      <c r="T92" s="92"/>
      <c r="U92" s="92"/>
      <c r="V92" s="92"/>
      <c r="W92" s="92"/>
      <c r="X92" s="92"/>
      <c r="Y92" s="92"/>
      <c r="Z92" s="92"/>
      <c r="AA92" s="92"/>
      <c r="AB92" s="92"/>
      <c r="AC92" s="92"/>
    </row>
    <row r="93" spans="1:29" ht="12.75" customHeight="1">
      <c r="A93" s="54"/>
      <c r="B93" s="66"/>
      <c r="C93" s="204" t="s">
        <v>1377</v>
      </c>
      <c r="D93" s="54"/>
      <c r="E93" s="160" t="s">
        <v>928</v>
      </c>
      <c r="F93" s="132"/>
      <c r="G93" s="92"/>
      <c r="H93" s="92"/>
      <c r="I93" s="92"/>
      <c r="J93" s="92"/>
      <c r="K93" s="92"/>
      <c r="L93" s="92"/>
      <c r="M93" s="92"/>
      <c r="N93" s="92"/>
      <c r="O93" s="92"/>
      <c r="P93" s="92"/>
      <c r="Q93" s="92"/>
      <c r="R93" s="92"/>
      <c r="S93" s="92"/>
      <c r="T93" s="92"/>
      <c r="U93" s="92"/>
      <c r="V93" s="92"/>
      <c r="W93" s="92"/>
      <c r="X93" s="92"/>
      <c r="Y93" s="92"/>
      <c r="Z93" s="92"/>
      <c r="AA93" s="92"/>
      <c r="AB93" s="92"/>
      <c r="AC93" s="92"/>
    </row>
    <row r="94" spans="1:29" ht="12.75" customHeight="1">
      <c r="A94" s="54"/>
      <c r="B94" s="66"/>
      <c r="C94" s="204" t="s">
        <v>1717</v>
      </c>
      <c r="D94" s="54"/>
      <c r="E94" s="160" t="s">
        <v>1162</v>
      </c>
      <c r="F94" s="132"/>
      <c r="G94" s="92"/>
      <c r="H94" s="92"/>
      <c r="I94" s="92"/>
      <c r="J94" s="92"/>
      <c r="K94" s="92"/>
      <c r="L94" s="92"/>
      <c r="M94" s="92"/>
      <c r="N94" s="92"/>
      <c r="O94" s="92"/>
      <c r="P94" s="92"/>
      <c r="Q94" s="92"/>
      <c r="R94" s="92"/>
      <c r="S94" s="92"/>
      <c r="T94" s="92"/>
      <c r="U94" s="92"/>
      <c r="V94" s="92"/>
      <c r="W94" s="92"/>
      <c r="X94" s="92"/>
      <c r="Y94" s="92"/>
      <c r="Z94" s="92"/>
      <c r="AA94" s="92"/>
      <c r="AB94" s="92"/>
      <c r="AC94" s="92"/>
    </row>
    <row r="95" spans="1:29" ht="12.75" customHeight="1">
      <c r="A95" s="54"/>
      <c r="B95" s="66"/>
      <c r="C95" s="204" t="s">
        <v>1717</v>
      </c>
      <c r="D95" s="54"/>
      <c r="E95" s="160" t="s">
        <v>929</v>
      </c>
      <c r="F95" s="132"/>
      <c r="G95" s="92"/>
      <c r="H95" s="92"/>
      <c r="I95" s="92"/>
      <c r="J95" s="92"/>
      <c r="K95" s="92"/>
      <c r="L95" s="92"/>
      <c r="M95" s="92"/>
      <c r="N95" s="92"/>
      <c r="O95" s="92"/>
      <c r="P95" s="92"/>
      <c r="Q95" s="92"/>
      <c r="R95" s="92"/>
      <c r="S95" s="92"/>
      <c r="T95" s="92"/>
      <c r="U95" s="92"/>
      <c r="V95" s="92"/>
      <c r="W95" s="92"/>
      <c r="X95" s="92"/>
      <c r="Y95" s="92"/>
      <c r="Z95" s="92"/>
      <c r="AA95" s="92"/>
      <c r="AB95" s="92"/>
      <c r="AC95" s="92"/>
    </row>
    <row r="96" spans="1:29" ht="12.75" customHeight="1">
      <c r="A96" s="54"/>
      <c r="B96" s="66"/>
      <c r="C96" s="204" t="s">
        <v>1410</v>
      </c>
      <c r="D96" s="57"/>
      <c r="E96" s="55" t="s">
        <v>884</v>
      </c>
      <c r="F96" s="235"/>
      <c r="G96" s="138"/>
      <c r="H96" s="92"/>
      <c r="I96" s="92"/>
      <c r="J96" s="92"/>
      <c r="K96" s="92"/>
      <c r="L96" s="92"/>
      <c r="M96" s="92"/>
      <c r="N96" s="92"/>
      <c r="O96" s="92"/>
      <c r="P96" s="92"/>
      <c r="Q96" s="92"/>
      <c r="R96" s="92"/>
      <c r="S96" s="92"/>
      <c r="T96" s="92"/>
      <c r="U96" s="92"/>
      <c r="V96" s="92"/>
      <c r="W96" s="92"/>
      <c r="X96" s="92"/>
      <c r="Y96" s="92"/>
      <c r="Z96" s="92"/>
      <c r="AA96" s="92"/>
      <c r="AB96" s="92"/>
      <c r="AC96" s="92"/>
    </row>
    <row r="97" spans="1:29" ht="12.75" customHeight="1">
      <c r="A97" s="54"/>
      <c r="B97" s="66"/>
      <c r="C97" s="204" t="s">
        <v>1717</v>
      </c>
      <c r="D97" s="57"/>
      <c r="E97" s="55" t="s">
        <v>931</v>
      </c>
      <c r="F97" s="235"/>
      <c r="G97" s="138"/>
      <c r="H97" s="92"/>
      <c r="I97" s="92"/>
      <c r="J97" s="92"/>
      <c r="K97" s="92"/>
      <c r="L97" s="92"/>
      <c r="M97" s="92"/>
      <c r="N97" s="92"/>
      <c r="O97" s="92"/>
      <c r="P97" s="92"/>
      <c r="Q97" s="92"/>
      <c r="R97" s="92"/>
      <c r="S97" s="92"/>
      <c r="T97" s="92"/>
      <c r="U97" s="92"/>
      <c r="V97" s="92"/>
      <c r="W97" s="92"/>
      <c r="X97" s="92"/>
      <c r="Y97" s="92"/>
      <c r="Z97" s="92"/>
      <c r="AA97" s="92"/>
      <c r="AB97" s="92"/>
      <c r="AC97" s="92"/>
    </row>
    <row r="98" spans="1:29" ht="12.75" customHeight="1">
      <c r="A98" s="54"/>
      <c r="B98" s="66"/>
      <c r="C98" s="204" t="s">
        <v>1410</v>
      </c>
      <c r="D98" s="54"/>
      <c r="E98" s="55" t="s">
        <v>1663</v>
      </c>
      <c r="F98" s="132"/>
      <c r="G98" s="92"/>
      <c r="H98" s="92"/>
      <c r="I98" s="92"/>
      <c r="J98" s="92"/>
      <c r="K98" s="92"/>
      <c r="L98" s="92"/>
      <c r="M98" s="92"/>
      <c r="N98" s="92"/>
      <c r="O98" s="92"/>
      <c r="P98" s="92"/>
      <c r="Q98" s="92"/>
      <c r="R98" s="92"/>
      <c r="S98" s="92"/>
      <c r="T98" s="92"/>
      <c r="U98" s="92"/>
      <c r="V98" s="92"/>
      <c r="W98" s="92"/>
      <c r="X98" s="92"/>
      <c r="Y98" s="92"/>
      <c r="Z98" s="92"/>
      <c r="AA98" s="92"/>
      <c r="AB98" s="92"/>
      <c r="AC98" s="92"/>
    </row>
    <row r="99" spans="1:29" ht="12.75" customHeight="1">
      <c r="A99" s="54"/>
      <c r="B99" s="66"/>
      <c r="C99" s="204" t="s">
        <v>1410</v>
      </c>
      <c r="D99" s="54"/>
      <c r="E99" s="55" t="s">
        <v>888</v>
      </c>
      <c r="F99" s="132"/>
      <c r="G99" s="92"/>
      <c r="H99" s="92"/>
      <c r="I99" s="92"/>
      <c r="J99" s="92"/>
      <c r="K99" s="92"/>
      <c r="L99" s="92"/>
      <c r="M99" s="92"/>
      <c r="N99" s="92"/>
      <c r="O99" s="92"/>
      <c r="P99" s="92"/>
      <c r="Q99" s="92"/>
      <c r="R99" s="92"/>
      <c r="S99" s="92"/>
      <c r="T99" s="92"/>
      <c r="U99" s="92"/>
      <c r="V99" s="92"/>
      <c r="W99" s="92"/>
      <c r="X99" s="92"/>
      <c r="Y99" s="92"/>
      <c r="Z99" s="92"/>
      <c r="AA99" s="92"/>
      <c r="AB99" s="92"/>
      <c r="AC99" s="92"/>
    </row>
    <row r="100" spans="1:29" ht="12.75" customHeight="1">
      <c r="A100" s="54"/>
      <c r="B100" s="66"/>
      <c r="C100" s="204" t="s">
        <v>1410</v>
      </c>
      <c r="D100" s="54"/>
      <c r="E100" s="55" t="s">
        <v>512</v>
      </c>
      <c r="F100" s="13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row>
    <row r="101" spans="1:29" ht="12.75" customHeight="1">
      <c r="A101" s="54"/>
      <c r="B101" s="66"/>
      <c r="C101" s="204" t="s">
        <v>1410</v>
      </c>
      <c r="D101" s="54"/>
      <c r="E101" s="55" t="s">
        <v>1662</v>
      </c>
      <c r="F101" s="13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row>
    <row r="102" spans="1:29" ht="12.75" customHeight="1">
      <c r="A102" s="54"/>
      <c r="B102" s="66"/>
      <c r="C102" s="204" t="s">
        <v>1410</v>
      </c>
      <c r="D102" s="54"/>
      <c r="E102" s="55" t="s">
        <v>890</v>
      </c>
      <c r="F102" s="13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row>
    <row r="103" spans="1:29" ht="12.75" customHeight="1">
      <c r="A103" s="54"/>
      <c r="B103" s="66"/>
      <c r="C103" s="204" t="s">
        <v>1410</v>
      </c>
      <c r="D103" s="54"/>
      <c r="E103" s="55" t="s">
        <v>905</v>
      </c>
      <c r="F103" s="13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row>
    <row r="104" spans="1:29" ht="12.75" customHeight="1">
      <c r="A104" s="54"/>
      <c r="B104" s="66"/>
      <c r="C104" s="204" t="s">
        <v>1410</v>
      </c>
      <c r="D104" s="54"/>
      <c r="E104" s="55" t="s">
        <v>907</v>
      </c>
      <c r="F104" s="13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row>
    <row r="105" spans="1:29" ht="12.75" customHeight="1">
      <c r="A105" s="54"/>
      <c r="B105" s="66"/>
      <c r="C105" s="204" t="s">
        <v>1717</v>
      </c>
      <c r="D105" s="54"/>
      <c r="E105" s="55" t="s">
        <v>897</v>
      </c>
      <c r="F105" s="13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row>
    <row r="106" spans="1:29" ht="12.75" customHeight="1">
      <c r="A106" s="54"/>
      <c r="B106" s="66"/>
      <c r="C106" s="204" t="s">
        <v>1410</v>
      </c>
      <c r="D106" s="54"/>
      <c r="E106" s="160" t="s">
        <v>1116</v>
      </c>
      <c r="F106" s="13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row>
    <row r="107" spans="1:29" ht="12.75" customHeight="1">
      <c r="A107" s="54"/>
      <c r="B107" s="66"/>
      <c r="C107" s="204" t="s">
        <v>1410</v>
      </c>
      <c r="D107" s="54"/>
      <c r="E107" s="160" t="s">
        <v>193</v>
      </c>
      <c r="F107" s="13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row>
    <row r="108" spans="1:29" ht="12.75" customHeight="1">
      <c r="A108" s="54"/>
      <c r="B108" s="66"/>
      <c r="C108" s="204" t="s">
        <v>1716</v>
      </c>
      <c r="D108" s="57"/>
      <c r="E108" s="55" t="s">
        <v>1661</v>
      </c>
      <c r="F108" s="235"/>
      <c r="G108" s="138"/>
      <c r="H108" s="92"/>
      <c r="I108" s="92"/>
      <c r="J108" s="92"/>
      <c r="K108" s="92"/>
      <c r="L108" s="92"/>
      <c r="M108" s="92"/>
      <c r="N108" s="92"/>
      <c r="O108" s="92"/>
      <c r="P108" s="92"/>
      <c r="Q108" s="92"/>
      <c r="R108" s="92"/>
      <c r="S108" s="92"/>
      <c r="T108" s="92"/>
      <c r="U108" s="92"/>
      <c r="V108" s="92"/>
      <c r="W108" s="92"/>
      <c r="X108" s="92"/>
      <c r="Y108" s="92"/>
      <c r="Z108" s="92"/>
      <c r="AA108" s="92"/>
      <c r="AB108" s="92"/>
      <c r="AC108" s="92"/>
    </row>
    <row r="109" spans="1:29" ht="12.75" customHeight="1" thickBot="1">
      <c r="A109" s="54"/>
      <c r="B109" s="66"/>
      <c r="C109" s="255" t="s">
        <v>1410</v>
      </c>
      <c r="D109" s="57"/>
      <c r="E109" s="56" t="s">
        <v>33</v>
      </c>
      <c r="F109" s="235"/>
      <c r="G109" s="138"/>
      <c r="H109" s="92"/>
      <c r="I109" s="92"/>
      <c r="J109" s="92"/>
      <c r="K109" s="92"/>
      <c r="L109" s="92"/>
      <c r="M109" s="92"/>
      <c r="N109" s="92"/>
      <c r="O109" s="92"/>
      <c r="P109" s="92"/>
      <c r="Q109" s="92"/>
      <c r="R109" s="92"/>
      <c r="S109" s="92"/>
      <c r="T109" s="92"/>
      <c r="U109" s="92"/>
      <c r="V109" s="92"/>
      <c r="W109" s="92"/>
      <c r="X109" s="92"/>
      <c r="Y109" s="92"/>
      <c r="Z109" s="92"/>
      <c r="AA109" s="92"/>
      <c r="AB109" s="92"/>
      <c r="AC109" s="92"/>
    </row>
    <row r="110" spans="1:29" ht="12.75" customHeight="1" thickBot="1">
      <c r="A110" s="54"/>
      <c r="B110" s="66"/>
      <c r="C110" s="253"/>
      <c r="D110" s="103"/>
      <c r="E110" s="55" t="s">
        <v>1376</v>
      </c>
      <c r="F110" s="235"/>
      <c r="G110" s="138"/>
      <c r="H110" s="92"/>
      <c r="I110" s="92"/>
      <c r="J110" s="92"/>
      <c r="K110" s="92"/>
      <c r="L110" s="92"/>
      <c r="M110" s="92"/>
      <c r="N110" s="92"/>
      <c r="O110" s="92"/>
      <c r="P110" s="92"/>
      <c r="Q110" s="92"/>
      <c r="R110" s="92"/>
      <c r="S110" s="92"/>
      <c r="T110" s="92"/>
      <c r="U110" s="92"/>
      <c r="V110" s="92"/>
      <c r="W110" s="92"/>
      <c r="X110" s="92"/>
      <c r="Y110" s="92"/>
      <c r="Z110" s="92"/>
      <c r="AA110" s="92"/>
      <c r="AB110" s="92"/>
      <c r="AC110" s="92"/>
    </row>
    <row r="111" spans="1:29" ht="12.75" customHeight="1" thickBot="1">
      <c r="A111" s="54"/>
      <c r="B111" s="66"/>
      <c r="C111" s="253"/>
      <c r="D111" s="103"/>
      <c r="E111" s="54" t="s">
        <v>1189</v>
      </c>
      <c r="F111" s="207"/>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row>
    <row r="112" spans="1:29" ht="12.75" customHeight="1">
      <c r="A112" s="54"/>
      <c r="B112" s="66"/>
      <c r="C112" s="203" t="s">
        <v>1410</v>
      </c>
      <c r="D112" s="54"/>
      <c r="E112" s="132" t="s">
        <v>479</v>
      </c>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row>
    <row r="113" spans="1:29" ht="12.75" customHeight="1">
      <c r="A113" s="54"/>
      <c r="B113" s="66"/>
      <c r="C113" s="66" t="s">
        <v>1717</v>
      </c>
      <c r="D113" s="54"/>
      <c r="E113" s="54" t="s">
        <v>909</v>
      </c>
      <c r="F113" s="245"/>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row>
    <row r="114" spans="1:29" ht="12.75" customHeight="1">
      <c r="A114" s="54"/>
      <c r="B114" s="66"/>
      <c r="C114" s="66" t="s">
        <v>1717</v>
      </c>
      <c r="D114" s="54"/>
      <c r="E114" s="54" t="s">
        <v>910</v>
      </c>
      <c r="F114" s="13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row>
    <row r="115" spans="1:29" ht="12.75" customHeight="1">
      <c r="A115" s="54"/>
      <c r="B115" s="66"/>
      <c r="C115" s="66" t="s">
        <v>1410</v>
      </c>
      <c r="D115" s="54"/>
      <c r="E115" s="54" t="s">
        <v>1914</v>
      </c>
      <c r="F115" s="13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row>
    <row r="116" spans="1:29" ht="12.75" customHeight="1">
      <c r="A116" s="54"/>
      <c r="B116" s="66"/>
      <c r="C116" s="66" t="s">
        <v>1410</v>
      </c>
      <c r="D116" s="54"/>
      <c r="E116" s="54" t="s">
        <v>913</v>
      </c>
      <c r="F116" s="13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row>
    <row r="117" spans="1:29" ht="12.75" customHeight="1">
      <c r="A117" s="54"/>
      <c r="B117" s="66"/>
      <c r="C117" s="200" t="s">
        <v>1717</v>
      </c>
      <c r="D117" s="61">
        <v>277</v>
      </c>
      <c r="E117" s="55">
        <f>D117/28.349523</f>
        <v>9.770887503116013</v>
      </c>
      <c r="F117" s="55">
        <f>E117/16</f>
        <v>0.6106804689447508</v>
      </c>
      <c r="G117" s="236" t="s">
        <v>2019</v>
      </c>
      <c r="H117" s="134"/>
      <c r="I117" s="92"/>
      <c r="J117" s="92"/>
      <c r="K117" s="92"/>
      <c r="L117" s="92"/>
      <c r="M117" s="92"/>
      <c r="N117" s="92"/>
      <c r="O117" s="92"/>
      <c r="P117" s="92"/>
      <c r="Q117" s="92"/>
      <c r="R117" s="92"/>
      <c r="S117" s="92"/>
      <c r="T117" s="92"/>
      <c r="U117" s="92"/>
      <c r="V117" s="92"/>
      <c r="W117" s="92"/>
      <c r="X117" s="92"/>
      <c r="Y117" s="92"/>
      <c r="Z117" s="92"/>
      <c r="AA117" s="92"/>
      <c r="AB117" s="92"/>
      <c r="AC117" s="92"/>
    </row>
    <row r="118" spans="1:8" ht="12.75" customHeight="1">
      <c r="A118" s="54"/>
      <c r="B118" s="66"/>
      <c r="C118" s="66" t="s">
        <v>1717</v>
      </c>
      <c r="D118" s="57">
        <v>284</v>
      </c>
      <c r="E118" s="55">
        <f>D118/28.349523</f>
        <v>10.017805237851796</v>
      </c>
      <c r="F118" s="55">
        <f>E118/16</f>
        <v>0.6261128273657373</v>
      </c>
      <c r="G118" s="63" t="s">
        <v>515</v>
      </c>
      <c r="H118" s="92"/>
    </row>
    <row r="119" spans="1:8" ht="12.75" customHeight="1">
      <c r="A119" s="54"/>
      <c r="B119" s="66"/>
      <c r="C119" s="66" t="s">
        <v>1717</v>
      </c>
      <c r="D119" s="57">
        <v>175</v>
      </c>
      <c r="E119" s="55">
        <f>D119/28.349523</f>
        <v>6.172943368394593</v>
      </c>
      <c r="F119" s="55">
        <f>E119/16</f>
        <v>0.38580896052466207</v>
      </c>
      <c r="G119" s="63" t="s">
        <v>501</v>
      </c>
      <c r="H119" s="94"/>
    </row>
    <row r="120" spans="1:29" ht="12.75" customHeight="1">
      <c r="A120" s="54"/>
      <c r="B120" s="66"/>
      <c r="C120" s="66" t="s">
        <v>1717</v>
      </c>
      <c r="D120" s="54"/>
      <c r="E120" s="54"/>
      <c r="F120" s="67"/>
      <c r="G120" s="63" t="s">
        <v>509</v>
      </c>
      <c r="H120" s="92"/>
      <c r="I120" s="92"/>
      <c r="J120" s="92"/>
      <c r="K120" s="92"/>
      <c r="L120" s="92"/>
      <c r="M120" s="92"/>
      <c r="N120" s="92"/>
      <c r="O120" s="92"/>
      <c r="P120" s="92"/>
      <c r="Q120" s="92"/>
      <c r="R120" s="92"/>
      <c r="S120" s="92"/>
      <c r="T120" s="92"/>
      <c r="U120" s="92"/>
      <c r="V120" s="92"/>
      <c r="W120" s="92"/>
      <c r="X120" s="92"/>
      <c r="Y120" s="92"/>
      <c r="Z120" s="92"/>
      <c r="AA120" s="92"/>
      <c r="AB120" s="92"/>
      <c r="AC120" s="92"/>
    </row>
    <row r="121" spans="1:29" ht="12.75" customHeight="1">
      <c r="A121" s="54"/>
      <c r="B121" s="66"/>
      <c r="C121" s="200" t="s">
        <v>1717</v>
      </c>
      <c r="D121" s="54"/>
      <c r="E121" s="132" t="s">
        <v>1378</v>
      </c>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row>
    <row r="122" spans="1:29" ht="12.75" customHeight="1">
      <c r="A122" s="54"/>
      <c r="B122" s="66"/>
      <c r="C122" s="200" t="s">
        <v>1717</v>
      </c>
      <c r="D122" s="54"/>
      <c r="E122" s="132" t="s">
        <v>1915</v>
      </c>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row>
    <row r="123" spans="1:29" ht="12.75" customHeight="1">
      <c r="A123" s="54"/>
      <c r="B123" s="66"/>
      <c r="C123" s="200" t="s">
        <v>1717</v>
      </c>
      <c r="D123" s="54"/>
      <c r="E123" s="132" t="s">
        <v>622</v>
      </c>
      <c r="F123" s="92"/>
      <c r="J123" s="92"/>
      <c r="K123" s="92"/>
      <c r="L123" s="92"/>
      <c r="M123" s="92"/>
      <c r="N123" s="92"/>
      <c r="O123" s="92"/>
      <c r="P123" s="92"/>
      <c r="Q123" s="92"/>
      <c r="R123" s="92"/>
      <c r="S123" s="92"/>
      <c r="T123" s="92"/>
      <c r="U123" s="92"/>
      <c r="V123" s="92"/>
      <c r="W123" s="92"/>
      <c r="X123" s="92"/>
      <c r="Y123" s="92"/>
      <c r="Z123" s="92"/>
      <c r="AA123" s="92"/>
      <c r="AB123" s="92"/>
      <c r="AC123" s="92"/>
    </row>
    <row r="124" spans="1:29" ht="12.75" customHeight="1">
      <c r="A124" s="54"/>
      <c r="B124" s="66"/>
      <c r="C124" s="200" t="s">
        <v>1717</v>
      </c>
      <c r="D124" s="54"/>
      <c r="E124" s="132" t="s">
        <v>623</v>
      </c>
      <c r="F124" s="92"/>
      <c r="J124" s="92"/>
      <c r="K124" s="92"/>
      <c r="L124" s="92"/>
      <c r="M124" s="92"/>
      <c r="N124" s="92"/>
      <c r="O124" s="92"/>
      <c r="P124" s="92"/>
      <c r="Q124" s="92"/>
      <c r="R124" s="92"/>
      <c r="S124" s="92"/>
      <c r="T124" s="92"/>
      <c r="U124" s="92"/>
      <c r="V124" s="92"/>
      <c r="W124" s="92"/>
      <c r="X124" s="92"/>
      <c r="Y124" s="92"/>
      <c r="Z124" s="92"/>
      <c r="AA124" s="92"/>
      <c r="AB124" s="92"/>
      <c r="AC124" s="92"/>
    </row>
    <row r="125" spans="1:29" ht="12.75" customHeight="1">
      <c r="A125" s="54"/>
      <c r="B125" s="66"/>
      <c r="C125" s="200"/>
      <c r="D125" s="54"/>
      <c r="E125" s="54" t="s">
        <v>1503</v>
      </c>
      <c r="F125" s="92"/>
      <c r="J125" s="92"/>
      <c r="K125" s="92"/>
      <c r="L125" s="92"/>
      <c r="M125" s="92"/>
      <c r="N125" s="92"/>
      <c r="O125" s="92"/>
      <c r="P125" s="92"/>
      <c r="Q125" s="92"/>
      <c r="R125" s="92"/>
      <c r="S125" s="92"/>
      <c r="T125" s="92"/>
      <c r="U125" s="92"/>
      <c r="V125" s="92"/>
      <c r="W125" s="92"/>
      <c r="X125" s="92"/>
      <c r="Y125" s="92"/>
      <c r="Z125" s="92"/>
      <c r="AA125" s="92"/>
      <c r="AB125" s="92"/>
      <c r="AC125" s="92"/>
    </row>
    <row r="126" spans="1:29" ht="12.75" customHeight="1">
      <c r="A126" s="54"/>
      <c r="B126" s="66"/>
      <c r="C126" s="200" t="s">
        <v>1717</v>
      </c>
      <c r="D126" s="54"/>
      <c r="E126" s="54" t="s">
        <v>1916</v>
      </c>
      <c r="F126" s="92"/>
      <c r="J126" s="92"/>
      <c r="K126" s="92"/>
      <c r="L126" s="92"/>
      <c r="M126" s="92"/>
      <c r="N126" s="92"/>
      <c r="O126" s="92"/>
      <c r="P126" s="92"/>
      <c r="Q126" s="92"/>
      <c r="R126" s="92"/>
      <c r="S126" s="92"/>
      <c r="T126" s="92"/>
      <c r="U126" s="92"/>
      <c r="V126" s="92"/>
      <c r="W126" s="92"/>
      <c r="X126" s="92"/>
      <c r="Y126" s="92"/>
      <c r="Z126" s="92"/>
      <c r="AA126" s="92"/>
      <c r="AB126" s="92"/>
      <c r="AC126" s="92"/>
    </row>
    <row r="127" spans="1:29" ht="12.75" customHeight="1">
      <c r="A127" s="54"/>
      <c r="B127" s="66"/>
      <c r="C127" s="200" t="s">
        <v>1717</v>
      </c>
      <c r="D127" s="61">
        <v>132</v>
      </c>
      <c r="E127" s="55">
        <f>D127/28.349523</f>
        <v>4.6561629978747785</v>
      </c>
      <c r="F127" s="55">
        <f>E127/16</f>
        <v>0.29101018736717366</v>
      </c>
      <c r="G127" s="4" t="s">
        <v>1907</v>
      </c>
      <c r="J127" s="92"/>
      <c r="K127" s="92"/>
      <c r="L127" s="92"/>
      <c r="M127" s="92"/>
      <c r="N127" s="92"/>
      <c r="O127" s="92"/>
      <c r="P127" s="92"/>
      <c r="Q127" s="92"/>
      <c r="R127" s="92"/>
      <c r="S127" s="92"/>
      <c r="T127" s="92"/>
      <c r="U127" s="92"/>
      <c r="V127" s="92"/>
      <c r="W127" s="92"/>
      <c r="X127" s="92"/>
      <c r="Y127" s="92"/>
      <c r="Z127" s="92"/>
      <c r="AA127" s="92"/>
      <c r="AB127" s="92"/>
      <c r="AC127" s="92"/>
    </row>
    <row r="128" spans="1:8" ht="12.75">
      <c r="A128" s="54"/>
      <c r="B128" s="66"/>
      <c r="C128" s="200" t="s">
        <v>1717</v>
      </c>
      <c r="D128" s="54"/>
      <c r="E128" s="242" t="s">
        <v>798</v>
      </c>
      <c r="F128" s="92"/>
      <c r="H128" s="3"/>
    </row>
    <row r="129" spans="1:29" ht="12.75">
      <c r="A129" s="54"/>
      <c r="B129" s="66"/>
      <c r="C129" s="200" t="s">
        <v>1717</v>
      </c>
      <c r="D129" s="54"/>
      <c r="E129" s="242" t="s">
        <v>799</v>
      </c>
      <c r="F129" s="92"/>
      <c r="J129" s="92"/>
      <c r="K129" s="92"/>
      <c r="L129" s="92"/>
      <c r="M129" s="92"/>
      <c r="N129" s="92"/>
      <c r="O129" s="92"/>
      <c r="P129" s="92"/>
      <c r="Q129" s="92"/>
      <c r="R129" s="92"/>
      <c r="S129" s="92"/>
      <c r="T129" s="92"/>
      <c r="U129" s="92"/>
      <c r="V129" s="92"/>
      <c r="W129" s="92"/>
      <c r="X129" s="92"/>
      <c r="Y129" s="92"/>
      <c r="Z129" s="92"/>
      <c r="AA129" s="92"/>
      <c r="AB129" s="92"/>
      <c r="AC129" s="92"/>
    </row>
    <row r="130" spans="1:29" ht="12.75">
      <c r="A130" s="54"/>
      <c r="B130" s="66"/>
      <c r="C130" s="200" t="s">
        <v>1717</v>
      </c>
      <c r="D130" s="54"/>
      <c r="E130" s="242" t="s">
        <v>800</v>
      </c>
      <c r="F130" s="92"/>
      <c r="J130" s="92"/>
      <c r="K130" s="92"/>
      <c r="L130" s="92"/>
      <c r="M130" s="92"/>
      <c r="N130" s="92"/>
      <c r="O130" s="92"/>
      <c r="P130" s="92"/>
      <c r="Q130" s="92"/>
      <c r="R130" s="92"/>
      <c r="S130" s="92"/>
      <c r="T130" s="92"/>
      <c r="U130" s="92"/>
      <c r="V130" s="92"/>
      <c r="W130" s="92"/>
      <c r="X130" s="92"/>
      <c r="Y130" s="92"/>
      <c r="Z130" s="92"/>
      <c r="AA130" s="92"/>
      <c r="AB130" s="92"/>
      <c r="AC130" s="92"/>
    </row>
    <row r="131" spans="1:29" ht="12.75">
      <c r="A131" s="54"/>
      <c r="B131" s="66"/>
      <c r="C131" s="200" t="s">
        <v>1717</v>
      </c>
      <c r="D131" s="54"/>
      <c r="E131" s="242" t="s">
        <v>801</v>
      </c>
      <c r="F131" s="92"/>
      <c r="J131" s="92"/>
      <c r="K131" s="92"/>
      <c r="L131" s="92"/>
      <c r="M131" s="92"/>
      <c r="N131" s="92"/>
      <c r="O131" s="92"/>
      <c r="P131" s="92"/>
      <c r="Q131" s="92"/>
      <c r="R131" s="92"/>
      <c r="S131" s="92"/>
      <c r="T131" s="92"/>
      <c r="U131" s="92"/>
      <c r="V131" s="92"/>
      <c r="W131" s="92"/>
      <c r="X131" s="92"/>
      <c r="Y131" s="92"/>
      <c r="Z131" s="92"/>
      <c r="AA131" s="92"/>
      <c r="AB131" s="92"/>
      <c r="AC131" s="92"/>
    </row>
    <row r="132" spans="1:29" ht="12.75">
      <c r="A132" s="54"/>
      <c r="B132" s="66"/>
      <c r="C132" s="66"/>
      <c r="D132" s="54"/>
      <c r="E132" s="242" t="s">
        <v>298</v>
      </c>
      <c r="F132" s="92"/>
      <c r="J132" s="92"/>
      <c r="K132" s="92"/>
      <c r="L132" s="92"/>
      <c r="M132" s="92"/>
      <c r="N132" s="92"/>
      <c r="O132" s="92"/>
      <c r="P132" s="92"/>
      <c r="Q132" s="92"/>
      <c r="R132" s="92"/>
      <c r="S132" s="92"/>
      <c r="T132" s="92"/>
      <c r="U132" s="92"/>
      <c r="V132" s="92"/>
      <c r="W132" s="92"/>
      <c r="X132" s="92"/>
      <c r="Y132" s="92"/>
      <c r="Z132" s="92"/>
      <c r="AA132" s="92"/>
      <c r="AB132" s="92"/>
      <c r="AC132" s="92"/>
    </row>
    <row r="133" spans="1:29" ht="12.75">
      <c r="A133" s="54"/>
      <c r="B133" s="66"/>
      <c r="C133" s="73"/>
      <c r="D133" s="54"/>
      <c r="E133" s="242" t="s">
        <v>299</v>
      </c>
      <c r="F133" s="92"/>
      <c r="J133" s="92"/>
      <c r="K133" s="92"/>
      <c r="L133" s="92"/>
      <c r="M133" s="92"/>
      <c r="N133" s="92"/>
      <c r="O133" s="92"/>
      <c r="P133" s="92"/>
      <c r="Q133" s="92"/>
      <c r="R133" s="92"/>
      <c r="S133" s="92"/>
      <c r="T133" s="92"/>
      <c r="U133" s="92"/>
      <c r="V133" s="92"/>
      <c r="W133" s="92"/>
      <c r="X133" s="92"/>
      <c r="Y133" s="92"/>
      <c r="Z133" s="92"/>
      <c r="AA133" s="92"/>
      <c r="AB133" s="92"/>
      <c r="AC133" s="92"/>
    </row>
    <row r="134" spans="1:29" ht="12.75" customHeight="1">
      <c r="A134" s="54"/>
      <c r="B134" s="66"/>
      <c r="C134" s="66"/>
      <c r="D134" s="57"/>
      <c r="E134" s="238" t="s">
        <v>1502</v>
      </c>
      <c r="F134" s="183"/>
      <c r="H134" s="92"/>
      <c r="I134" s="92"/>
      <c r="J134" s="92"/>
      <c r="K134" s="92"/>
      <c r="L134" s="92"/>
      <c r="M134" s="92"/>
      <c r="N134" s="92"/>
      <c r="O134" s="92"/>
      <c r="P134" s="92"/>
      <c r="Q134" s="92"/>
      <c r="R134" s="92"/>
      <c r="S134" s="92"/>
      <c r="T134" s="92"/>
      <c r="U134" s="92"/>
      <c r="V134" s="92"/>
      <c r="W134" s="92"/>
      <c r="X134" s="92"/>
      <c r="Y134" s="92"/>
      <c r="Z134" s="92"/>
      <c r="AA134" s="92"/>
      <c r="AB134" s="92"/>
      <c r="AC134" s="92"/>
    </row>
    <row r="135" spans="1:29" ht="15" customHeight="1">
      <c r="A135" s="54"/>
      <c r="B135" s="54"/>
      <c r="C135" s="54"/>
      <c r="D135" s="54"/>
      <c r="E135" s="132"/>
      <c r="F135" s="65"/>
      <c r="G135" s="65"/>
      <c r="H135" s="65"/>
      <c r="I135" s="65"/>
      <c r="J135" s="65"/>
      <c r="K135" s="65"/>
      <c r="L135" s="92"/>
      <c r="M135" s="92"/>
      <c r="N135" s="92"/>
      <c r="O135" s="92"/>
      <c r="P135" s="92"/>
      <c r="Q135" s="92"/>
      <c r="R135" s="92"/>
      <c r="S135" s="92"/>
      <c r="T135" s="92"/>
      <c r="U135" s="92"/>
      <c r="V135" s="92"/>
      <c r="W135" s="92"/>
      <c r="X135" s="92"/>
      <c r="Y135" s="92"/>
      <c r="Z135" s="92"/>
      <c r="AA135" s="92"/>
      <c r="AB135" s="92"/>
      <c r="AC135" s="92"/>
    </row>
    <row r="136" spans="1:29" ht="15" customHeight="1">
      <c r="A136" s="54"/>
      <c r="B136" s="54"/>
      <c r="C136" s="54"/>
      <c r="D136" s="54"/>
      <c r="E136" s="132"/>
      <c r="F136" s="65"/>
      <c r="G136" s="65"/>
      <c r="H136" s="65"/>
      <c r="I136" s="65"/>
      <c r="J136" s="65"/>
      <c r="K136" s="65"/>
      <c r="L136" s="92"/>
      <c r="M136" s="92"/>
      <c r="N136" s="92"/>
      <c r="O136" s="92"/>
      <c r="P136" s="92"/>
      <c r="Q136" s="92"/>
      <c r="R136" s="92"/>
      <c r="S136" s="92"/>
      <c r="T136" s="92"/>
      <c r="U136" s="92"/>
      <c r="V136" s="92"/>
      <c r="W136" s="92"/>
      <c r="X136" s="92"/>
      <c r="Y136" s="92"/>
      <c r="Z136" s="92"/>
      <c r="AA136" s="92"/>
      <c r="AB136" s="92"/>
      <c r="AC136" s="92"/>
    </row>
    <row r="137" spans="1:29" ht="15" customHeight="1">
      <c r="A137" s="54"/>
      <c r="B137" s="54"/>
      <c r="C137" s="54"/>
      <c r="D137" s="54"/>
      <c r="E137" s="132"/>
      <c r="F137" s="65"/>
      <c r="G137" s="65"/>
      <c r="H137" s="65"/>
      <c r="I137" s="65"/>
      <c r="J137" s="65"/>
      <c r="K137" s="65"/>
      <c r="L137" s="92"/>
      <c r="M137" s="92"/>
      <c r="N137" s="92"/>
      <c r="O137" s="92"/>
      <c r="P137" s="92"/>
      <c r="Q137" s="92"/>
      <c r="R137" s="92"/>
      <c r="S137" s="92"/>
      <c r="T137" s="92"/>
      <c r="U137" s="92"/>
      <c r="V137" s="92"/>
      <c r="W137" s="92"/>
      <c r="X137" s="92"/>
      <c r="Y137" s="92"/>
      <c r="Z137" s="92"/>
      <c r="AA137" s="92"/>
      <c r="AB137" s="92"/>
      <c r="AC137" s="92"/>
    </row>
    <row r="138" spans="1:29" ht="15" customHeight="1">
      <c r="A138" s="54"/>
      <c r="B138" s="54"/>
      <c r="C138" s="54"/>
      <c r="D138" s="54"/>
      <c r="E138" s="132"/>
      <c r="F138" s="65"/>
      <c r="G138" s="65"/>
      <c r="H138" s="65"/>
      <c r="I138" s="65"/>
      <c r="J138" s="65"/>
      <c r="K138" s="65"/>
      <c r="L138" s="92"/>
      <c r="M138" s="92"/>
      <c r="N138" s="92"/>
      <c r="O138" s="92"/>
      <c r="P138" s="92"/>
      <c r="Q138" s="92"/>
      <c r="R138" s="92"/>
      <c r="S138" s="92"/>
      <c r="T138" s="92"/>
      <c r="U138" s="92"/>
      <c r="V138" s="92"/>
      <c r="W138" s="92"/>
      <c r="X138" s="92"/>
      <c r="Y138" s="92"/>
      <c r="Z138" s="92"/>
      <c r="AA138" s="92"/>
      <c r="AB138" s="92"/>
      <c r="AC138" s="92"/>
    </row>
    <row r="139" spans="1:29" ht="15" customHeight="1">
      <c r="A139" s="54"/>
      <c r="B139" s="54"/>
      <c r="C139" s="54"/>
      <c r="D139" s="54"/>
      <c r="E139" s="132"/>
      <c r="F139" s="65"/>
      <c r="G139" s="65"/>
      <c r="H139" s="65"/>
      <c r="I139" s="65"/>
      <c r="J139" s="65"/>
      <c r="K139" s="65"/>
      <c r="L139" s="92"/>
      <c r="M139" s="92"/>
      <c r="N139" s="92"/>
      <c r="O139" s="92"/>
      <c r="P139" s="92"/>
      <c r="Q139" s="92"/>
      <c r="R139" s="92"/>
      <c r="S139" s="92"/>
      <c r="T139" s="92"/>
      <c r="U139" s="92"/>
      <c r="V139" s="92"/>
      <c r="W139" s="92"/>
      <c r="X139" s="92"/>
      <c r="Y139" s="92"/>
      <c r="Z139" s="92"/>
      <c r="AA139" s="92"/>
      <c r="AB139" s="92"/>
      <c r="AC139" s="92"/>
    </row>
    <row r="140" spans="1:29" ht="15" customHeight="1">
      <c r="A140" s="54"/>
      <c r="B140" s="54"/>
      <c r="C140" s="54"/>
      <c r="D140" s="54"/>
      <c r="E140" s="132"/>
      <c r="F140" s="65"/>
      <c r="G140" s="65"/>
      <c r="H140" s="65"/>
      <c r="I140" s="65"/>
      <c r="J140" s="65"/>
      <c r="K140" s="65"/>
      <c r="L140" s="92"/>
      <c r="M140" s="92"/>
      <c r="N140" s="92"/>
      <c r="O140" s="92"/>
      <c r="P140" s="92"/>
      <c r="Q140" s="92"/>
      <c r="R140" s="92"/>
      <c r="S140" s="92"/>
      <c r="T140" s="92"/>
      <c r="U140" s="92"/>
      <c r="V140" s="92"/>
      <c r="W140" s="92"/>
      <c r="X140" s="92"/>
      <c r="Y140" s="92"/>
      <c r="Z140" s="92"/>
      <c r="AA140" s="92"/>
      <c r="AB140" s="92"/>
      <c r="AC140" s="92"/>
    </row>
    <row r="141" spans="1:29" ht="15" customHeight="1">
      <c r="A141" s="54"/>
      <c r="B141" s="54"/>
      <c r="C141" s="54"/>
      <c r="D141" s="54"/>
      <c r="E141" s="132"/>
      <c r="F141" s="65"/>
      <c r="G141" s="65"/>
      <c r="H141" s="65"/>
      <c r="I141" s="65"/>
      <c r="J141" s="65"/>
      <c r="K141" s="65"/>
      <c r="L141" s="92"/>
      <c r="M141" s="92"/>
      <c r="N141" s="92"/>
      <c r="O141" s="92"/>
      <c r="P141" s="92"/>
      <c r="Q141" s="92"/>
      <c r="R141" s="92"/>
      <c r="S141" s="92"/>
      <c r="T141" s="92"/>
      <c r="U141" s="92"/>
      <c r="V141" s="92"/>
      <c r="W141" s="92"/>
      <c r="X141" s="92"/>
      <c r="Y141" s="92"/>
      <c r="Z141" s="92"/>
      <c r="AA141" s="92"/>
      <c r="AB141" s="92"/>
      <c r="AC141" s="92"/>
    </row>
    <row r="142" spans="1:29" ht="15" customHeight="1">
      <c r="A142" s="54"/>
      <c r="B142" s="54"/>
      <c r="C142" s="54"/>
      <c r="D142" s="54"/>
      <c r="E142" s="132"/>
      <c r="F142" s="65"/>
      <c r="G142" s="65"/>
      <c r="H142" s="65"/>
      <c r="I142" s="65"/>
      <c r="J142" s="65"/>
      <c r="K142" s="65"/>
      <c r="L142" s="92"/>
      <c r="M142" s="92"/>
      <c r="N142" s="92"/>
      <c r="O142" s="92"/>
      <c r="P142" s="92"/>
      <c r="Q142" s="92"/>
      <c r="R142" s="92"/>
      <c r="S142" s="92"/>
      <c r="T142" s="92"/>
      <c r="U142" s="92"/>
      <c r="V142" s="92"/>
      <c r="W142" s="92"/>
      <c r="X142" s="92"/>
      <c r="Y142" s="92"/>
      <c r="Z142" s="92"/>
      <c r="AA142" s="92"/>
      <c r="AB142" s="92"/>
      <c r="AC142" s="92"/>
    </row>
    <row r="143" spans="1:29" ht="15" customHeight="1">
      <c r="A143" s="54"/>
      <c r="B143" s="54"/>
      <c r="C143" s="54"/>
      <c r="D143" s="54"/>
      <c r="E143" s="132"/>
      <c r="F143" s="65"/>
      <c r="G143" s="65"/>
      <c r="H143" s="65"/>
      <c r="I143" s="65"/>
      <c r="J143" s="65"/>
      <c r="K143" s="65"/>
      <c r="L143" s="92"/>
      <c r="M143" s="92"/>
      <c r="N143" s="92"/>
      <c r="O143" s="92"/>
      <c r="P143" s="92"/>
      <c r="Q143" s="92"/>
      <c r="R143" s="92"/>
      <c r="S143" s="92"/>
      <c r="T143" s="92"/>
      <c r="U143" s="92"/>
      <c r="V143" s="92"/>
      <c r="W143" s="92"/>
      <c r="X143" s="92"/>
      <c r="Y143" s="92"/>
      <c r="Z143" s="92"/>
      <c r="AA143" s="92"/>
      <c r="AB143" s="92"/>
      <c r="AC143" s="92"/>
    </row>
    <row r="144" spans="1:29" ht="15" customHeight="1">
      <c r="A144" s="54"/>
      <c r="B144" s="54"/>
      <c r="C144" s="54"/>
      <c r="D144" s="54"/>
      <c r="E144" s="132"/>
      <c r="F144" s="65"/>
      <c r="G144" s="65"/>
      <c r="H144" s="65"/>
      <c r="I144" s="65"/>
      <c r="J144" s="65"/>
      <c r="K144" s="65"/>
      <c r="L144" s="92"/>
      <c r="M144" s="92"/>
      <c r="N144" s="92"/>
      <c r="O144" s="92"/>
      <c r="P144" s="92"/>
      <c r="Q144" s="92"/>
      <c r="R144" s="92"/>
      <c r="S144" s="92"/>
      <c r="T144" s="92"/>
      <c r="U144" s="92"/>
      <c r="V144" s="92"/>
      <c r="W144" s="92"/>
      <c r="X144" s="92"/>
      <c r="Y144" s="92"/>
      <c r="Z144" s="92"/>
      <c r="AA144" s="92"/>
      <c r="AB144" s="92"/>
      <c r="AC144" s="92"/>
    </row>
    <row r="145" spans="1:29" ht="15" customHeight="1">
      <c r="A145" s="54"/>
      <c r="B145" s="54"/>
      <c r="C145" s="54"/>
      <c r="D145" s="54"/>
      <c r="E145" s="132"/>
      <c r="F145" s="65"/>
      <c r="G145" s="65"/>
      <c r="H145" s="65"/>
      <c r="I145" s="65"/>
      <c r="J145" s="65"/>
      <c r="K145" s="65"/>
      <c r="L145" s="92"/>
      <c r="M145" s="92"/>
      <c r="N145" s="92"/>
      <c r="O145" s="92"/>
      <c r="P145" s="92"/>
      <c r="Q145" s="92"/>
      <c r="R145" s="92"/>
      <c r="S145" s="92"/>
      <c r="T145" s="92"/>
      <c r="U145" s="92"/>
      <c r="V145" s="92"/>
      <c r="W145" s="92"/>
      <c r="X145" s="92"/>
      <c r="Y145" s="92"/>
      <c r="Z145" s="92"/>
      <c r="AA145" s="92"/>
      <c r="AB145" s="92"/>
      <c r="AC145" s="92"/>
    </row>
    <row r="146" spans="1:29" ht="15" customHeight="1">
      <c r="A146" s="54"/>
      <c r="B146" s="54"/>
      <c r="C146" s="54"/>
      <c r="D146" s="54"/>
      <c r="E146" s="132"/>
      <c r="F146" s="65"/>
      <c r="G146" s="65"/>
      <c r="H146" s="65"/>
      <c r="I146" s="65"/>
      <c r="J146" s="65"/>
      <c r="K146" s="65"/>
      <c r="L146" s="92"/>
      <c r="M146" s="92"/>
      <c r="N146" s="92"/>
      <c r="O146" s="92"/>
      <c r="P146" s="92"/>
      <c r="Q146" s="92"/>
      <c r="R146" s="92"/>
      <c r="S146" s="92"/>
      <c r="T146" s="92"/>
      <c r="U146" s="92"/>
      <c r="V146" s="92"/>
      <c r="W146" s="92"/>
      <c r="X146" s="92"/>
      <c r="Y146" s="92"/>
      <c r="Z146" s="92"/>
      <c r="AA146" s="92"/>
      <c r="AB146" s="92"/>
      <c r="AC146" s="92"/>
    </row>
    <row r="147" spans="1:29" ht="15" customHeight="1">
      <c r="A147" s="54"/>
      <c r="B147" s="54"/>
      <c r="C147" s="54"/>
      <c r="D147" s="54"/>
      <c r="E147" s="132"/>
      <c r="F147" s="65"/>
      <c r="G147" s="65"/>
      <c r="H147" s="65"/>
      <c r="I147" s="65"/>
      <c r="J147" s="65"/>
      <c r="K147" s="65"/>
      <c r="L147" s="92"/>
      <c r="M147" s="92"/>
      <c r="N147" s="92"/>
      <c r="O147" s="92"/>
      <c r="P147" s="92"/>
      <c r="Q147" s="92"/>
      <c r="R147" s="92"/>
      <c r="S147" s="92"/>
      <c r="T147" s="92"/>
      <c r="U147" s="92"/>
      <c r="V147" s="92"/>
      <c r="W147" s="92"/>
      <c r="X147" s="92"/>
      <c r="Y147" s="92"/>
      <c r="Z147" s="92"/>
      <c r="AA147" s="92"/>
      <c r="AB147" s="92"/>
      <c r="AC147" s="92"/>
    </row>
    <row r="148" spans="1:29" ht="15" customHeight="1">
      <c r="A148" s="54"/>
      <c r="B148" s="54"/>
      <c r="C148" s="54"/>
      <c r="D148" s="54"/>
      <c r="E148" s="132"/>
      <c r="F148" s="65"/>
      <c r="G148" s="65"/>
      <c r="H148" s="65"/>
      <c r="I148" s="65"/>
      <c r="J148" s="65"/>
      <c r="K148" s="65"/>
      <c r="L148" s="92"/>
      <c r="M148" s="92"/>
      <c r="N148" s="92"/>
      <c r="O148" s="92"/>
      <c r="P148" s="92"/>
      <c r="Q148" s="92"/>
      <c r="R148" s="92"/>
      <c r="S148" s="92"/>
      <c r="T148" s="92"/>
      <c r="U148" s="92"/>
      <c r="V148" s="92"/>
      <c r="W148" s="92"/>
      <c r="X148" s="92"/>
      <c r="Y148" s="92"/>
      <c r="Z148" s="92"/>
      <c r="AA148" s="92"/>
      <c r="AB148" s="92"/>
      <c r="AC148" s="92"/>
    </row>
    <row r="149" spans="1:29" ht="15" customHeight="1">
      <c r="A149" s="54"/>
      <c r="B149" s="54"/>
      <c r="C149" s="54"/>
      <c r="D149" s="54"/>
      <c r="E149" s="132"/>
      <c r="F149" s="65"/>
      <c r="G149" s="65"/>
      <c r="H149" s="65"/>
      <c r="I149" s="65"/>
      <c r="J149" s="65"/>
      <c r="K149" s="65"/>
      <c r="L149" s="92"/>
      <c r="M149" s="92"/>
      <c r="N149" s="92"/>
      <c r="O149" s="92"/>
      <c r="P149" s="92"/>
      <c r="Q149" s="92"/>
      <c r="R149" s="92"/>
      <c r="S149" s="92"/>
      <c r="T149" s="92"/>
      <c r="U149" s="92"/>
      <c r="V149" s="92"/>
      <c r="W149" s="92"/>
      <c r="X149" s="92"/>
      <c r="Y149" s="92"/>
      <c r="Z149" s="92"/>
      <c r="AA149" s="92"/>
      <c r="AB149" s="92"/>
      <c r="AC149" s="92"/>
    </row>
    <row r="150" spans="1:29" ht="15" customHeight="1">
      <c r="A150" s="54"/>
      <c r="B150" s="54"/>
      <c r="C150" s="54"/>
      <c r="D150" s="54"/>
      <c r="E150" s="132"/>
      <c r="F150" s="65"/>
      <c r="G150" s="65"/>
      <c r="H150" s="65"/>
      <c r="I150" s="65"/>
      <c r="J150" s="65"/>
      <c r="K150" s="65"/>
      <c r="L150" s="92"/>
      <c r="M150" s="92"/>
      <c r="N150" s="92"/>
      <c r="O150" s="92"/>
      <c r="P150" s="92"/>
      <c r="Q150" s="92"/>
      <c r="R150" s="92"/>
      <c r="S150" s="92"/>
      <c r="T150" s="92"/>
      <c r="U150" s="92"/>
      <c r="V150" s="92"/>
      <c r="W150" s="92"/>
      <c r="X150" s="92"/>
      <c r="Y150" s="92"/>
      <c r="Z150" s="92"/>
      <c r="AA150" s="92"/>
      <c r="AB150" s="92"/>
      <c r="AC150" s="92"/>
    </row>
    <row r="151" spans="1:29" ht="15" customHeight="1">
      <c r="A151" s="54"/>
      <c r="B151" s="54"/>
      <c r="C151" s="54"/>
      <c r="D151" s="54"/>
      <c r="E151" s="132"/>
      <c r="F151" s="65"/>
      <c r="G151" s="65"/>
      <c r="H151" s="65"/>
      <c r="I151" s="65"/>
      <c r="J151" s="65"/>
      <c r="K151" s="65"/>
      <c r="L151" s="92"/>
      <c r="M151" s="92"/>
      <c r="N151" s="92"/>
      <c r="O151" s="92"/>
      <c r="P151" s="92"/>
      <c r="Q151" s="92"/>
      <c r="R151" s="92"/>
      <c r="S151" s="92"/>
      <c r="T151" s="92"/>
      <c r="U151" s="92"/>
      <c r="V151" s="92"/>
      <c r="W151" s="92"/>
      <c r="X151" s="92"/>
      <c r="Y151" s="92"/>
      <c r="Z151" s="92"/>
      <c r="AA151" s="92"/>
      <c r="AB151" s="92"/>
      <c r="AC151" s="92"/>
    </row>
    <row r="152" spans="1:29" ht="15" customHeight="1">
      <c r="A152" s="54"/>
      <c r="B152" s="54"/>
      <c r="C152" s="54"/>
      <c r="D152" s="54"/>
      <c r="E152" s="132"/>
      <c r="F152" s="65"/>
      <c r="G152" s="65"/>
      <c r="H152" s="65"/>
      <c r="I152" s="65"/>
      <c r="J152" s="65"/>
      <c r="K152" s="65"/>
      <c r="L152" s="92"/>
      <c r="M152" s="92"/>
      <c r="N152" s="92"/>
      <c r="O152" s="92"/>
      <c r="P152" s="92"/>
      <c r="Q152" s="92"/>
      <c r="R152" s="92"/>
      <c r="S152" s="92"/>
      <c r="T152" s="92"/>
      <c r="U152" s="92"/>
      <c r="V152" s="92"/>
      <c r="W152" s="92"/>
      <c r="X152" s="92"/>
      <c r="Y152" s="92"/>
      <c r="Z152" s="92"/>
      <c r="AA152" s="92"/>
      <c r="AB152" s="92"/>
      <c r="AC152" s="92"/>
    </row>
    <row r="153" spans="1:29" ht="15" customHeight="1">
      <c r="A153" s="54"/>
      <c r="B153" s="54"/>
      <c r="C153" s="54"/>
      <c r="D153" s="54"/>
      <c r="E153" s="132"/>
      <c r="F153" s="65"/>
      <c r="G153" s="65"/>
      <c r="H153" s="65"/>
      <c r="I153" s="65"/>
      <c r="J153" s="65"/>
      <c r="K153" s="65"/>
      <c r="L153" s="92"/>
      <c r="M153" s="92"/>
      <c r="N153" s="92"/>
      <c r="O153" s="92"/>
      <c r="P153" s="92"/>
      <c r="Q153" s="92"/>
      <c r="R153" s="92"/>
      <c r="S153" s="92"/>
      <c r="T153" s="92"/>
      <c r="U153" s="92"/>
      <c r="V153" s="92"/>
      <c r="W153" s="92"/>
      <c r="X153" s="92"/>
      <c r="Y153" s="92"/>
      <c r="Z153" s="92"/>
      <c r="AA153" s="92"/>
      <c r="AB153" s="92"/>
      <c r="AC153" s="92"/>
    </row>
    <row r="154" spans="1:29" ht="15" customHeight="1">
      <c r="A154" s="54"/>
      <c r="B154" s="54"/>
      <c r="C154" s="54"/>
      <c r="D154" s="54"/>
      <c r="E154" s="132"/>
      <c r="F154" s="65"/>
      <c r="G154" s="65"/>
      <c r="H154" s="65"/>
      <c r="I154" s="65"/>
      <c r="J154" s="65"/>
      <c r="K154" s="65"/>
      <c r="L154" s="92"/>
      <c r="M154" s="92"/>
      <c r="N154" s="92"/>
      <c r="O154" s="92"/>
      <c r="P154" s="92"/>
      <c r="Q154" s="92"/>
      <c r="R154" s="92"/>
      <c r="S154" s="92"/>
      <c r="T154" s="92"/>
      <c r="U154" s="92"/>
      <c r="V154" s="92"/>
      <c r="W154" s="92"/>
      <c r="X154" s="92"/>
      <c r="Y154" s="92"/>
      <c r="Z154" s="92"/>
      <c r="AA154" s="92"/>
      <c r="AB154" s="92"/>
      <c r="AC154" s="92"/>
    </row>
    <row r="155" spans="1:29" ht="15" customHeight="1">
      <c r="A155" s="54"/>
      <c r="B155" s="54"/>
      <c r="C155" s="54"/>
      <c r="D155" s="54"/>
      <c r="E155" s="132"/>
      <c r="F155" s="65"/>
      <c r="G155" s="65"/>
      <c r="H155" s="65"/>
      <c r="I155" s="65"/>
      <c r="J155" s="65"/>
      <c r="K155" s="65"/>
      <c r="L155" s="92"/>
      <c r="M155" s="92"/>
      <c r="N155" s="92"/>
      <c r="O155" s="92"/>
      <c r="P155" s="92"/>
      <c r="Q155" s="92"/>
      <c r="R155" s="92"/>
      <c r="S155" s="92"/>
      <c r="T155" s="92"/>
      <c r="U155" s="92"/>
      <c r="V155" s="92"/>
      <c r="W155" s="92"/>
      <c r="X155" s="92"/>
      <c r="Y155" s="92"/>
      <c r="Z155" s="92"/>
      <c r="AA155" s="92"/>
      <c r="AB155" s="92"/>
      <c r="AC155" s="92"/>
    </row>
    <row r="156" spans="1:29" ht="15" customHeight="1">
      <c r="A156" s="54"/>
      <c r="B156" s="54"/>
      <c r="C156" s="54"/>
      <c r="D156" s="54"/>
      <c r="E156" s="132"/>
      <c r="F156" s="65"/>
      <c r="G156" s="65"/>
      <c r="H156" s="65"/>
      <c r="I156" s="65"/>
      <c r="J156" s="65"/>
      <c r="K156" s="65"/>
      <c r="L156" s="92"/>
      <c r="M156" s="92"/>
      <c r="N156" s="92"/>
      <c r="O156" s="92"/>
      <c r="P156" s="92"/>
      <c r="Q156" s="92"/>
      <c r="R156" s="92"/>
      <c r="S156" s="92"/>
      <c r="T156" s="92"/>
      <c r="U156" s="92"/>
      <c r="V156" s="92"/>
      <c r="W156" s="92"/>
      <c r="X156" s="92"/>
      <c r="Y156" s="92"/>
      <c r="Z156" s="92"/>
      <c r="AA156" s="92"/>
      <c r="AB156" s="92"/>
      <c r="AC156" s="92"/>
    </row>
    <row r="157" spans="1:29" ht="15" customHeight="1">
      <c r="A157" s="54"/>
      <c r="B157" s="54"/>
      <c r="C157" s="54"/>
      <c r="D157" s="54"/>
      <c r="E157" s="132"/>
      <c r="F157" s="65"/>
      <c r="G157" s="65"/>
      <c r="H157" s="65"/>
      <c r="I157" s="65"/>
      <c r="J157" s="65"/>
      <c r="K157" s="65"/>
      <c r="L157" s="92"/>
      <c r="M157" s="92"/>
      <c r="N157" s="92"/>
      <c r="O157" s="92"/>
      <c r="P157" s="92"/>
      <c r="Q157" s="92"/>
      <c r="R157" s="92"/>
      <c r="S157" s="92"/>
      <c r="T157" s="92"/>
      <c r="U157" s="92"/>
      <c r="V157" s="92"/>
      <c r="W157" s="92"/>
      <c r="X157" s="92"/>
      <c r="Y157" s="92"/>
      <c r="Z157" s="92"/>
      <c r="AA157" s="92"/>
      <c r="AB157" s="92"/>
      <c r="AC157" s="92"/>
    </row>
    <row r="158" spans="1:29" ht="15" customHeight="1">
      <c r="A158" s="54"/>
      <c r="B158" s="54"/>
      <c r="C158" s="54"/>
      <c r="D158" s="54"/>
      <c r="E158" s="132"/>
      <c r="F158" s="65"/>
      <c r="G158" s="65"/>
      <c r="H158" s="65"/>
      <c r="I158" s="65"/>
      <c r="J158" s="65"/>
      <c r="K158" s="65"/>
      <c r="L158" s="92"/>
      <c r="M158" s="92"/>
      <c r="N158" s="92"/>
      <c r="O158" s="92"/>
      <c r="P158" s="92"/>
      <c r="Q158" s="92"/>
      <c r="R158" s="92"/>
      <c r="S158" s="92"/>
      <c r="T158" s="92"/>
      <c r="U158" s="92"/>
      <c r="V158" s="92"/>
      <c r="W158" s="92"/>
      <c r="X158" s="92"/>
      <c r="Y158" s="92"/>
      <c r="Z158" s="92"/>
      <c r="AA158" s="92"/>
      <c r="AB158" s="92"/>
      <c r="AC158" s="92"/>
    </row>
    <row r="159" spans="1:29" ht="15" customHeight="1">
      <c r="A159" s="54"/>
      <c r="B159" s="54"/>
      <c r="C159" s="54"/>
      <c r="D159" s="54"/>
      <c r="E159" s="132"/>
      <c r="F159" s="65"/>
      <c r="G159" s="65"/>
      <c r="H159" s="65"/>
      <c r="I159" s="65"/>
      <c r="J159" s="65"/>
      <c r="K159" s="65"/>
      <c r="L159" s="92"/>
      <c r="M159" s="92"/>
      <c r="N159" s="92"/>
      <c r="O159" s="92"/>
      <c r="P159" s="92"/>
      <c r="Q159" s="92"/>
      <c r="R159" s="92"/>
      <c r="S159" s="92"/>
      <c r="T159" s="92"/>
      <c r="U159" s="92"/>
      <c r="V159" s="92"/>
      <c r="W159" s="92"/>
      <c r="X159" s="92"/>
      <c r="Y159" s="92"/>
      <c r="Z159" s="92"/>
      <c r="AA159" s="92"/>
      <c r="AB159" s="92"/>
      <c r="AC159" s="92"/>
    </row>
    <row r="160" spans="10:29" ht="12.75">
      <c r="J160" s="92"/>
      <c r="K160" s="92"/>
      <c r="L160" s="92"/>
      <c r="M160" s="92"/>
      <c r="N160" s="92"/>
      <c r="O160" s="92"/>
      <c r="P160" s="92"/>
      <c r="Q160" s="92"/>
      <c r="R160" s="92"/>
      <c r="S160" s="92"/>
      <c r="T160" s="92"/>
      <c r="U160" s="92"/>
      <c r="V160" s="92"/>
      <c r="W160" s="92"/>
      <c r="X160" s="92"/>
      <c r="Y160" s="92"/>
      <c r="Z160" s="92"/>
      <c r="AA160" s="92"/>
      <c r="AB160" s="92"/>
      <c r="AC160" s="92"/>
    </row>
    <row r="161" spans="10:29" ht="12.75">
      <c r="J161" s="92"/>
      <c r="K161" s="92"/>
      <c r="L161" s="92"/>
      <c r="M161" s="92"/>
      <c r="N161" s="92"/>
      <c r="O161" s="92"/>
      <c r="P161" s="92"/>
      <c r="Q161" s="92"/>
      <c r="R161" s="92"/>
      <c r="S161" s="92"/>
      <c r="T161" s="92"/>
      <c r="U161" s="92"/>
      <c r="V161" s="92"/>
      <c r="W161" s="92"/>
      <c r="X161" s="92"/>
      <c r="Y161" s="92"/>
      <c r="Z161" s="92"/>
      <c r="AA161" s="92"/>
      <c r="AB161" s="92"/>
      <c r="AC161" s="92"/>
    </row>
    <row r="162" spans="10:29" ht="12.75">
      <c r="J162" s="92"/>
      <c r="K162" s="92"/>
      <c r="L162" s="92"/>
      <c r="M162" s="92"/>
      <c r="N162" s="92"/>
      <c r="O162" s="92"/>
      <c r="P162" s="92"/>
      <c r="Q162" s="92"/>
      <c r="R162" s="92"/>
      <c r="S162" s="92"/>
      <c r="T162" s="92"/>
      <c r="U162" s="92"/>
      <c r="V162" s="92"/>
      <c r="W162" s="92"/>
      <c r="X162" s="92"/>
      <c r="Y162" s="92"/>
      <c r="Z162" s="92"/>
      <c r="AA162" s="92"/>
      <c r="AB162" s="92"/>
      <c r="AC162" s="92"/>
    </row>
    <row r="163" spans="10:29" ht="12.75">
      <c r="J163" s="92"/>
      <c r="K163" s="92"/>
      <c r="L163" s="92"/>
      <c r="M163" s="92"/>
      <c r="N163" s="92"/>
      <c r="O163" s="92"/>
      <c r="P163" s="92"/>
      <c r="Q163" s="92"/>
      <c r="R163" s="92"/>
      <c r="S163" s="92"/>
      <c r="T163" s="92"/>
      <c r="U163" s="92"/>
      <c r="V163" s="92"/>
      <c r="W163" s="92"/>
      <c r="X163" s="92"/>
      <c r="Y163" s="92"/>
      <c r="Z163" s="92"/>
      <c r="AA163" s="92"/>
      <c r="AB163" s="92"/>
      <c r="AC163" s="92"/>
    </row>
    <row r="164" spans="10:29" ht="12.75">
      <c r="J164" s="92"/>
      <c r="K164" s="92"/>
      <c r="L164" s="92"/>
      <c r="M164" s="92"/>
      <c r="N164" s="92"/>
      <c r="O164" s="92"/>
      <c r="P164" s="92"/>
      <c r="Q164" s="92"/>
      <c r="R164" s="92"/>
      <c r="S164" s="92"/>
      <c r="T164" s="92"/>
      <c r="U164" s="92"/>
      <c r="V164" s="92"/>
      <c r="W164" s="92"/>
      <c r="X164" s="92"/>
      <c r="Y164" s="92"/>
      <c r="Z164" s="92"/>
      <c r="AA164" s="92"/>
      <c r="AB164" s="92"/>
      <c r="AC164" s="92"/>
    </row>
    <row r="165" spans="10:29" ht="12.75">
      <c r="J165" s="92"/>
      <c r="K165" s="92"/>
      <c r="L165" s="92"/>
      <c r="M165" s="92"/>
      <c r="N165" s="92"/>
      <c r="O165" s="92"/>
      <c r="P165" s="92"/>
      <c r="Q165" s="92"/>
      <c r="R165" s="92"/>
      <c r="S165" s="92"/>
      <c r="T165" s="92"/>
      <c r="U165" s="92"/>
      <c r="V165" s="92"/>
      <c r="W165" s="92"/>
      <c r="X165" s="92"/>
      <c r="Y165" s="92"/>
      <c r="Z165" s="92"/>
      <c r="AA165" s="92"/>
      <c r="AB165" s="92"/>
      <c r="AC165" s="92"/>
    </row>
    <row r="166" spans="10:29" ht="12.75">
      <c r="J166" s="92"/>
      <c r="K166" s="92"/>
      <c r="L166" s="92"/>
      <c r="M166" s="92"/>
      <c r="N166" s="92"/>
      <c r="O166" s="92"/>
      <c r="P166" s="92"/>
      <c r="Q166" s="92"/>
      <c r="R166" s="92"/>
      <c r="S166" s="92"/>
      <c r="T166" s="92"/>
      <c r="U166" s="92"/>
      <c r="V166" s="92"/>
      <c r="W166" s="92"/>
      <c r="X166" s="92"/>
      <c r="Y166" s="92"/>
      <c r="Z166" s="92"/>
      <c r="AA166" s="92"/>
      <c r="AB166" s="92"/>
      <c r="AC166" s="92"/>
    </row>
    <row r="167" spans="10:29" ht="12.75">
      <c r="J167" s="92"/>
      <c r="K167" s="92"/>
      <c r="L167" s="92"/>
      <c r="M167" s="92"/>
      <c r="N167" s="92"/>
      <c r="O167" s="92"/>
      <c r="P167" s="92"/>
      <c r="Q167" s="92"/>
      <c r="R167" s="92"/>
      <c r="S167" s="92"/>
      <c r="T167" s="92"/>
      <c r="U167" s="92"/>
      <c r="V167" s="92"/>
      <c r="W167" s="92"/>
      <c r="X167" s="92"/>
      <c r="Y167" s="92"/>
      <c r="Z167" s="92"/>
      <c r="AA167" s="92"/>
      <c r="AB167" s="92"/>
      <c r="AC167" s="92"/>
    </row>
    <row r="168" spans="10:29" ht="12.75">
      <c r="J168" s="92"/>
      <c r="K168" s="92"/>
      <c r="L168" s="92"/>
      <c r="M168" s="92"/>
      <c r="N168" s="92"/>
      <c r="O168" s="92"/>
      <c r="P168" s="92"/>
      <c r="Q168" s="92"/>
      <c r="R168" s="92"/>
      <c r="S168" s="92"/>
      <c r="T168" s="92"/>
      <c r="U168" s="92"/>
      <c r="V168" s="92"/>
      <c r="W168" s="92"/>
      <c r="X168" s="92"/>
      <c r="Y168" s="92"/>
      <c r="Z168" s="92"/>
      <c r="AA168" s="92"/>
      <c r="AB168" s="92"/>
      <c r="AC168" s="92"/>
    </row>
    <row r="169" spans="10:29" ht="12.75">
      <c r="J169" s="92"/>
      <c r="K169" s="92"/>
      <c r="L169" s="92"/>
      <c r="M169" s="92"/>
      <c r="N169" s="92"/>
      <c r="O169" s="92"/>
      <c r="P169" s="92"/>
      <c r="Q169" s="92"/>
      <c r="R169" s="92"/>
      <c r="S169" s="92"/>
      <c r="T169" s="92"/>
      <c r="U169" s="92"/>
      <c r="V169" s="92"/>
      <c r="W169" s="92"/>
      <c r="X169" s="92"/>
      <c r="Y169" s="92"/>
      <c r="Z169" s="92"/>
      <c r="AA169" s="92"/>
      <c r="AB169" s="92"/>
      <c r="AC169" s="92"/>
    </row>
    <row r="170" spans="10:29" ht="12.75">
      <c r="J170" s="92"/>
      <c r="K170" s="92"/>
      <c r="L170" s="92"/>
      <c r="M170" s="92"/>
      <c r="N170" s="92"/>
      <c r="O170" s="92"/>
      <c r="P170" s="92"/>
      <c r="Q170" s="92"/>
      <c r="R170" s="92"/>
      <c r="S170" s="92"/>
      <c r="T170" s="92"/>
      <c r="U170" s="92"/>
      <c r="V170" s="92"/>
      <c r="W170" s="92"/>
      <c r="X170" s="92"/>
      <c r="Y170" s="92"/>
      <c r="Z170" s="92"/>
      <c r="AA170" s="92"/>
      <c r="AB170" s="92"/>
      <c r="AC170" s="92"/>
    </row>
    <row r="171" spans="10:29" ht="12.75">
      <c r="J171" s="92"/>
      <c r="K171" s="92"/>
      <c r="L171" s="92"/>
      <c r="M171" s="92"/>
      <c r="N171" s="92"/>
      <c r="O171" s="92"/>
      <c r="P171" s="92"/>
      <c r="Q171" s="92"/>
      <c r="R171" s="92"/>
      <c r="S171" s="92"/>
      <c r="T171" s="92"/>
      <c r="U171" s="92"/>
      <c r="V171" s="92"/>
      <c r="W171" s="92"/>
      <c r="X171" s="92"/>
      <c r="Y171" s="92"/>
      <c r="Z171" s="92"/>
      <c r="AA171" s="92"/>
      <c r="AB171" s="92"/>
      <c r="AC171" s="92"/>
    </row>
    <row r="172" spans="10:29" ht="12.75">
      <c r="J172" s="92"/>
      <c r="K172" s="92"/>
      <c r="L172" s="92"/>
      <c r="M172" s="92"/>
      <c r="N172" s="92"/>
      <c r="O172" s="92"/>
      <c r="P172" s="92"/>
      <c r="Q172" s="92"/>
      <c r="R172" s="92"/>
      <c r="S172" s="92"/>
      <c r="T172" s="92"/>
      <c r="U172" s="92"/>
      <c r="V172" s="92"/>
      <c r="W172" s="92"/>
      <c r="X172" s="92"/>
      <c r="Y172" s="92"/>
      <c r="Z172" s="92"/>
      <c r="AA172" s="92"/>
      <c r="AB172" s="92"/>
      <c r="AC172" s="92"/>
    </row>
    <row r="173" spans="10:29" ht="12.75">
      <c r="J173" s="92"/>
      <c r="K173" s="92"/>
      <c r="L173" s="92"/>
      <c r="M173" s="92"/>
      <c r="N173" s="92"/>
      <c r="O173" s="92"/>
      <c r="P173" s="92"/>
      <c r="Q173" s="92"/>
      <c r="R173" s="92"/>
      <c r="S173" s="92"/>
      <c r="T173" s="92"/>
      <c r="U173" s="92"/>
      <c r="V173" s="92"/>
      <c r="W173" s="92"/>
      <c r="X173" s="92"/>
      <c r="Y173" s="92"/>
      <c r="Z173" s="92"/>
      <c r="AA173" s="92"/>
      <c r="AB173" s="92"/>
      <c r="AC173" s="92"/>
    </row>
  </sheetData>
  <mergeCells count="1">
    <mergeCell ref="C23:C25"/>
  </mergeCells>
  <printOptions/>
  <pageMargins left="0.75" right="0.75" top="1.07" bottom="0.24" header="0.15" footer="0.2"/>
  <pageSetup horizontalDpi="600" verticalDpi="600" orientation="portrait" paperSize="17" scale="90" r:id="rId1"/>
  <rowBreaks count="3" manualBreakCount="3">
    <brk id="62" max="10" man="1"/>
    <brk id="66" max="255" man="1"/>
    <brk id="128" max="10" man="1"/>
  </rowBreaks>
</worksheet>
</file>

<file path=xl/worksheets/sheet9.xml><?xml version="1.0" encoding="utf-8"?>
<worksheet xmlns="http://schemas.openxmlformats.org/spreadsheetml/2006/main" xmlns:r="http://schemas.openxmlformats.org/officeDocument/2006/relationships">
  <dimension ref="A1:AH192"/>
  <sheetViews>
    <sheetView workbookViewId="0" topLeftCell="A1">
      <pane ySplit="1" topLeftCell="BM26" activePane="bottomLeft" state="frozen"/>
      <selection pane="topLeft" activeCell="A1" sqref="A1"/>
      <selection pane="bottomLeft" activeCell="A62" sqref="A62:IV62"/>
    </sheetView>
  </sheetViews>
  <sheetFormatPr defaultColWidth="9.140625" defaultRowHeight="12.75"/>
  <cols>
    <col min="1" max="1" width="10.140625" style="0" customWidth="1"/>
    <col min="2" max="2" width="6.00390625" style="0" bestFit="1" customWidth="1"/>
    <col min="3" max="3" width="5.00390625" style="0" customWidth="1"/>
    <col min="4" max="4" width="5.421875" style="0" customWidth="1"/>
    <col min="7" max="7" width="8.57421875" style="0" customWidth="1"/>
  </cols>
  <sheetData>
    <row r="1" spans="1:8" ht="12.75">
      <c r="A1" s="92" t="s">
        <v>1131</v>
      </c>
      <c r="B1" s="92" t="s">
        <v>1132</v>
      </c>
      <c r="C1" s="92" t="s">
        <v>1265</v>
      </c>
      <c r="D1" s="92" t="s">
        <v>1133</v>
      </c>
      <c r="E1" s="92" t="s">
        <v>1135</v>
      </c>
      <c r="F1" s="92"/>
      <c r="G1" s="92"/>
      <c r="H1" t="s">
        <v>1134</v>
      </c>
    </row>
    <row r="2" spans="1:34" ht="12.75">
      <c r="A2" s="92"/>
      <c r="B2" s="92"/>
      <c r="C2" s="92"/>
      <c r="D2" s="92"/>
      <c r="E2" s="92" t="s">
        <v>2116</v>
      </c>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row>
    <row r="3" spans="1:34" ht="12.75">
      <c r="A3" s="92"/>
      <c r="B3" s="135">
        <v>32</v>
      </c>
      <c r="C3" s="94">
        <f>B3/28.349523</f>
        <v>1.1287667873635827</v>
      </c>
      <c r="D3" s="94">
        <f>C3/16</f>
        <v>0.07054792421022392</v>
      </c>
      <c r="E3" s="140" t="s">
        <v>1709</v>
      </c>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row>
    <row r="4" spans="1:34" ht="12.75">
      <c r="A4" s="92"/>
      <c r="B4" s="93">
        <v>57</v>
      </c>
      <c r="C4" s="94">
        <f>B4/28.349523</f>
        <v>2.010615839991382</v>
      </c>
      <c r="D4" s="94">
        <f>C4/16</f>
        <v>0.12566348999946136</v>
      </c>
      <c r="E4" s="92" t="s">
        <v>838</v>
      </c>
      <c r="F4" s="92"/>
      <c r="G4" s="92"/>
      <c r="H4" s="92" t="s">
        <v>838</v>
      </c>
      <c r="I4" s="92"/>
      <c r="J4" s="92"/>
      <c r="K4" s="92"/>
      <c r="L4" s="92"/>
      <c r="M4" s="92"/>
      <c r="N4" s="92"/>
      <c r="O4" s="92"/>
      <c r="P4" s="92"/>
      <c r="Q4" s="92"/>
      <c r="R4" s="92"/>
      <c r="S4" s="92"/>
      <c r="T4" s="92"/>
      <c r="U4" s="92"/>
      <c r="V4" s="92"/>
      <c r="W4" s="92"/>
      <c r="X4" s="92"/>
      <c r="Y4" s="92"/>
      <c r="Z4" s="92"/>
      <c r="AA4" s="92"/>
      <c r="AB4" s="92"/>
      <c r="AC4" s="92"/>
      <c r="AD4" s="92"/>
      <c r="AE4" s="92"/>
      <c r="AF4" s="92"/>
      <c r="AG4" s="92"/>
      <c r="AH4" s="92"/>
    </row>
    <row r="5" spans="1:19" ht="12.75">
      <c r="A5" s="92"/>
      <c r="B5" s="93">
        <v>19</v>
      </c>
      <c r="C5" s="94">
        <f>B5/28.349523</f>
        <v>0.6702052799971272</v>
      </c>
      <c r="D5" s="92"/>
      <c r="E5" s="138" t="s">
        <v>1803</v>
      </c>
      <c r="F5" s="92"/>
      <c r="G5" s="92"/>
      <c r="H5" s="92"/>
      <c r="I5" s="92"/>
      <c r="J5" s="92"/>
      <c r="K5" s="92"/>
      <c r="L5" s="92"/>
      <c r="M5" s="92"/>
      <c r="N5" s="92"/>
      <c r="O5" s="92"/>
      <c r="P5" s="92"/>
      <c r="Q5" s="92"/>
      <c r="R5" s="92"/>
      <c r="S5" s="92"/>
    </row>
    <row r="6" spans="1:34" ht="12.75">
      <c r="A6" s="92"/>
      <c r="B6" s="93"/>
      <c r="C6" s="94"/>
      <c r="D6" s="94"/>
      <c r="E6" s="138" t="s">
        <v>1438</v>
      </c>
      <c r="F6" s="134"/>
      <c r="G6" s="92"/>
      <c r="H6" s="92" t="s">
        <v>1191</v>
      </c>
      <c r="I6" s="92"/>
      <c r="J6" s="92"/>
      <c r="K6" s="92"/>
      <c r="L6" s="92"/>
      <c r="M6" s="94"/>
      <c r="N6" s="92"/>
      <c r="O6" s="134"/>
      <c r="P6" s="92"/>
      <c r="Q6" s="92"/>
      <c r="R6" s="92"/>
      <c r="S6" s="92"/>
      <c r="T6" s="92"/>
      <c r="U6" s="92"/>
      <c r="V6" s="92"/>
      <c r="W6" s="92"/>
      <c r="X6" s="92"/>
      <c r="Y6" s="92"/>
      <c r="Z6" s="92"/>
      <c r="AA6" s="92"/>
      <c r="AB6" s="92"/>
      <c r="AC6" s="92"/>
      <c r="AD6" s="92"/>
      <c r="AE6" s="92"/>
      <c r="AF6" s="92"/>
      <c r="AG6" s="92"/>
      <c r="AH6" s="92"/>
    </row>
    <row r="7" spans="1:34" ht="12.75">
      <c r="A7" s="92"/>
      <c r="B7" s="93">
        <v>147</v>
      </c>
      <c r="C7" s="94">
        <f>B7/28.349523</f>
        <v>5.185272429451458</v>
      </c>
      <c r="D7" s="94">
        <f>C7/16</f>
        <v>0.3240795268407161</v>
      </c>
      <c r="E7" s="138" t="s">
        <v>2124</v>
      </c>
      <c r="F7" s="134"/>
      <c r="G7" s="92"/>
      <c r="H7" s="150" t="s">
        <v>2125</v>
      </c>
      <c r="I7" s="92"/>
      <c r="J7" s="92"/>
      <c r="K7" s="92"/>
      <c r="L7" s="92"/>
      <c r="M7" s="94"/>
      <c r="N7" s="92"/>
      <c r="O7" s="134"/>
      <c r="P7" s="92"/>
      <c r="Q7" s="92"/>
      <c r="R7" s="92"/>
      <c r="S7" s="92"/>
      <c r="T7" s="92"/>
      <c r="U7" s="92"/>
      <c r="V7" s="92"/>
      <c r="W7" s="92"/>
      <c r="X7" s="92"/>
      <c r="Y7" s="92"/>
      <c r="Z7" s="92"/>
      <c r="AA7" s="92"/>
      <c r="AB7" s="92"/>
      <c r="AC7" s="92"/>
      <c r="AD7" s="92"/>
      <c r="AE7" s="92"/>
      <c r="AF7" s="92"/>
      <c r="AG7" s="92"/>
      <c r="AH7" s="92"/>
    </row>
    <row r="8" spans="2:8" ht="12.75">
      <c r="B8" s="9">
        <v>47</v>
      </c>
      <c r="C8" s="2">
        <f>B8/28.349523</f>
        <v>1.6578762189402623</v>
      </c>
      <c r="D8" s="2">
        <f>C8/16</f>
        <v>0.10361726368376639</v>
      </c>
      <c r="E8" t="s">
        <v>505</v>
      </c>
      <c r="F8" s="3"/>
      <c r="H8" t="s">
        <v>1718</v>
      </c>
    </row>
    <row r="9" spans="1:34" ht="12.75">
      <c r="A9" s="219"/>
      <c r="B9" s="135">
        <v>39</v>
      </c>
      <c r="C9" s="94">
        <f>B9/28.349523</f>
        <v>1.3756845220993665</v>
      </c>
      <c r="D9" s="94">
        <f>C9/16</f>
        <v>0.08598028263121041</v>
      </c>
      <c r="E9" s="139" t="s">
        <v>506</v>
      </c>
      <c r="F9" s="134"/>
      <c r="G9" s="92"/>
      <c r="H9" s="139" t="s">
        <v>2123</v>
      </c>
      <c r="I9" s="92"/>
      <c r="J9" s="92"/>
      <c r="K9" s="92"/>
      <c r="L9" s="92"/>
      <c r="M9" s="94"/>
      <c r="N9" s="92"/>
      <c r="O9" s="92"/>
      <c r="P9" s="92"/>
      <c r="Q9" s="92"/>
      <c r="R9" s="92"/>
      <c r="S9" s="92"/>
      <c r="T9" s="92"/>
      <c r="U9" s="92"/>
      <c r="V9" s="92"/>
      <c r="W9" s="92"/>
      <c r="X9" s="92"/>
      <c r="Y9" s="92"/>
      <c r="Z9" s="92"/>
      <c r="AA9" s="92"/>
      <c r="AB9" s="92"/>
      <c r="AC9" s="92"/>
      <c r="AD9" s="92"/>
      <c r="AE9" s="92"/>
      <c r="AF9" s="92"/>
      <c r="AG9" s="92"/>
      <c r="AH9" s="92"/>
    </row>
    <row r="10" spans="1:34" ht="12.75">
      <c r="A10" s="219"/>
      <c r="B10" s="135">
        <v>120</v>
      </c>
      <c r="C10" s="94">
        <f>B10/28.349523</f>
        <v>4.232875452613436</v>
      </c>
      <c r="D10" s="94">
        <f>C10/16</f>
        <v>0.2645547157883397</v>
      </c>
      <c r="E10" s="139" t="s">
        <v>507</v>
      </c>
      <c r="F10" s="134"/>
      <c r="G10" s="92"/>
      <c r="H10" s="139" t="s">
        <v>2122</v>
      </c>
      <c r="I10" s="92"/>
      <c r="J10" s="92"/>
      <c r="K10" s="92"/>
      <c r="L10" s="92"/>
      <c r="M10" s="94"/>
      <c r="N10" s="92"/>
      <c r="O10" s="92"/>
      <c r="P10" s="92"/>
      <c r="Q10" s="92"/>
      <c r="R10" s="92"/>
      <c r="S10" s="92"/>
      <c r="T10" s="92"/>
      <c r="U10" s="92"/>
      <c r="V10" s="92"/>
      <c r="W10" s="92"/>
      <c r="X10" s="92"/>
      <c r="Y10" s="92"/>
      <c r="Z10" s="92"/>
      <c r="AA10" s="92"/>
      <c r="AB10" s="92"/>
      <c r="AC10" s="92"/>
      <c r="AD10" s="92"/>
      <c r="AE10" s="92"/>
      <c r="AF10" s="92"/>
      <c r="AG10" s="92"/>
      <c r="AH10" s="92"/>
    </row>
    <row r="11" spans="1:34" ht="12.75">
      <c r="A11" s="219"/>
      <c r="B11" s="135">
        <v>174</v>
      </c>
      <c r="C11" s="94">
        <f>B11/28.349523</f>
        <v>6.137669406289481</v>
      </c>
      <c r="D11" s="94">
        <f>C11/16</f>
        <v>0.38360433789309256</v>
      </c>
      <c r="E11" s="139" t="s">
        <v>508</v>
      </c>
      <c r="F11" s="134"/>
      <c r="G11" s="92"/>
      <c r="H11" s="139" t="s">
        <v>2121</v>
      </c>
      <c r="I11" s="92"/>
      <c r="J11" s="92"/>
      <c r="K11" s="92"/>
      <c r="L11" s="92"/>
      <c r="M11" s="94"/>
      <c r="N11" s="92"/>
      <c r="O11" s="92"/>
      <c r="P11" s="92"/>
      <c r="Q11" s="92"/>
      <c r="R11" s="92"/>
      <c r="S11" s="92"/>
      <c r="T11" s="92"/>
      <c r="U11" s="92"/>
      <c r="V11" s="92"/>
      <c r="W11" s="92"/>
      <c r="X11" s="92"/>
      <c r="Y11" s="92"/>
      <c r="Z11" s="92"/>
      <c r="AA11" s="92"/>
      <c r="AB11" s="92"/>
      <c r="AC11" s="92"/>
      <c r="AD11" s="92"/>
      <c r="AE11" s="92"/>
      <c r="AF11" s="92"/>
      <c r="AG11" s="92"/>
      <c r="AH11" s="92"/>
    </row>
    <row r="12" spans="1:34" ht="12.75">
      <c r="A12" s="92"/>
      <c r="B12" s="93">
        <v>20</v>
      </c>
      <c r="C12" s="94"/>
      <c r="D12" s="94"/>
      <c r="E12" s="138" t="s">
        <v>891</v>
      </c>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row>
    <row r="13" spans="1:18" ht="12.75">
      <c r="A13" s="7"/>
      <c r="B13" s="9">
        <v>422</v>
      </c>
      <c r="C13" s="2">
        <f aca="true" t="shared" si="0" ref="C13:C18">B13/28.349523</f>
        <v>14.885612008357247</v>
      </c>
      <c r="D13" s="2">
        <f aca="true" t="shared" si="1" ref="D13:D18">C13/16</f>
        <v>0.930350750522328</v>
      </c>
      <c r="E13" s="149" t="s">
        <v>403</v>
      </c>
      <c r="H13" s="12" t="s">
        <v>1610</v>
      </c>
      <c r="I13" s="3"/>
      <c r="P13" s="2"/>
      <c r="R13" s="3"/>
    </row>
    <row r="14" spans="1:27" ht="12.75">
      <c r="A14" s="54" t="s">
        <v>1381</v>
      </c>
      <c r="B14" s="61">
        <v>388</v>
      </c>
      <c r="C14" s="94">
        <f t="shared" si="0"/>
        <v>13.68629729678344</v>
      </c>
      <c r="D14" s="94">
        <f t="shared" si="1"/>
        <v>0.855393581048965</v>
      </c>
      <c r="E14" s="236" t="s">
        <v>1392</v>
      </c>
      <c r="F14" s="92"/>
      <c r="G14" s="92"/>
      <c r="H14" s="92"/>
      <c r="I14" s="92"/>
      <c r="J14" s="92"/>
      <c r="K14" s="92"/>
      <c r="L14" s="92"/>
      <c r="M14" s="92"/>
      <c r="N14" s="92"/>
      <c r="O14" s="92"/>
      <c r="P14" s="92"/>
      <c r="Q14" s="92"/>
      <c r="R14" s="92"/>
      <c r="S14" s="92"/>
      <c r="T14" s="92"/>
      <c r="U14" s="92"/>
      <c r="V14" s="92"/>
      <c r="W14" s="92"/>
      <c r="X14" s="92"/>
      <c r="Y14" s="92"/>
      <c r="Z14" s="92"/>
      <c r="AA14" s="92"/>
    </row>
    <row r="15" spans="1:34" ht="12.75">
      <c r="A15" s="92"/>
      <c r="B15" s="93">
        <v>292</v>
      </c>
      <c r="C15" s="94">
        <f t="shared" si="0"/>
        <v>10.299996934692693</v>
      </c>
      <c r="D15" s="94">
        <f t="shared" si="1"/>
        <v>0.6437498084182933</v>
      </c>
      <c r="E15" s="92" t="s">
        <v>790</v>
      </c>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row>
    <row r="16" spans="1:34" ht="12.75">
      <c r="A16" s="92"/>
      <c r="B16" s="93">
        <v>702</v>
      </c>
      <c r="C16" s="94">
        <f t="shared" si="0"/>
        <v>24.762321397788597</v>
      </c>
      <c r="D16" s="94">
        <f t="shared" si="1"/>
        <v>1.5476450873617873</v>
      </c>
      <c r="E16" s="92" t="s">
        <v>821</v>
      </c>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row>
    <row r="17" spans="1:34" ht="12.75">
      <c r="A17" s="92"/>
      <c r="B17" s="93">
        <v>905</v>
      </c>
      <c r="C17" s="94">
        <f t="shared" si="0"/>
        <v>31.922935705126324</v>
      </c>
      <c r="D17" s="94">
        <f t="shared" si="1"/>
        <v>1.9951834815703953</v>
      </c>
      <c r="E17" s="92" t="s">
        <v>788</v>
      </c>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row>
    <row r="18" spans="1:34" ht="12.75">
      <c r="A18" s="92"/>
      <c r="B18" s="93">
        <f>470-292-2</f>
        <v>176</v>
      </c>
      <c r="C18" s="94">
        <f t="shared" si="0"/>
        <v>6.208217330499705</v>
      </c>
      <c r="D18" s="94">
        <f t="shared" si="1"/>
        <v>0.3880135831562316</v>
      </c>
      <c r="E18" s="92" t="s">
        <v>1462</v>
      </c>
      <c r="F18" s="92"/>
      <c r="G18" s="92"/>
      <c r="H18" s="134"/>
      <c r="I18" s="92"/>
      <c r="J18" s="93"/>
      <c r="K18" s="94"/>
      <c r="L18" s="94"/>
      <c r="M18" s="92"/>
      <c r="N18" s="134"/>
      <c r="O18" s="92"/>
      <c r="P18" s="92"/>
      <c r="Q18" s="92"/>
      <c r="R18" s="92"/>
      <c r="S18" s="92"/>
      <c r="T18" s="92"/>
      <c r="U18" s="92"/>
      <c r="V18" s="92"/>
      <c r="W18" s="92"/>
      <c r="X18" s="92"/>
      <c r="Y18" s="92"/>
      <c r="Z18" s="92"/>
      <c r="AA18" s="92"/>
      <c r="AB18" s="92"/>
      <c r="AC18" s="92"/>
      <c r="AD18" s="92"/>
      <c r="AE18" s="92"/>
      <c r="AF18" s="92"/>
      <c r="AG18" s="92"/>
      <c r="AH18" s="92"/>
    </row>
    <row r="19" spans="1:34" ht="12.75">
      <c r="A19" s="150"/>
      <c r="B19" s="93">
        <v>8</v>
      </c>
      <c r="C19" s="94">
        <v>0.3527396210511196</v>
      </c>
      <c r="D19" s="94"/>
      <c r="E19" s="126" t="s">
        <v>1431</v>
      </c>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row>
    <row r="20" spans="1:34" ht="12.75">
      <c r="A20" s="92"/>
      <c r="B20" s="93">
        <v>26</v>
      </c>
      <c r="C20" s="94">
        <f>B20/28.349523</f>
        <v>0.917123014732911</v>
      </c>
      <c r="D20" s="94"/>
      <c r="E20" s="139" t="s">
        <v>18</v>
      </c>
      <c r="F20" s="92"/>
      <c r="G20" s="92"/>
      <c r="H20" s="139" t="s">
        <v>19</v>
      </c>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row>
    <row r="21" spans="1:34" ht="12.75">
      <c r="A21" s="150"/>
      <c r="B21" s="93">
        <v>44</v>
      </c>
      <c r="C21" s="94">
        <f>B21/28.349523</f>
        <v>1.5520543326249263</v>
      </c>
      <c r="D21" s="134"/>
      <c r="E21" s="138" t="s">
        <v>414</v>
      </c>
      <c r="F21" s="92"/>
      <c r="G21" s="92"/>
      <c r="H21" s="149" t="s">
        <v>9</v>
      </c>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row>
    <row r="22" spans="1:34" ht="12.75">
      <c r="A22" s="319"/>
      <c r="B22" s="92"/>
      <c r="C22" s="92"/>
      <c r="D22" s="134"/>
      <c r="E22" s="221" t="s">
        <v>2087</v>
      </c>
      <c r="F22" s="92"/>
      <c r="G22" s="92"/>
      <c r="H22" s="149" t="s">
        <v>2090</v>
      </c>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row>
    <row r="23" spans="1:34" ht="12.75">
      <c r="A23" s="319"/>
      <c r="B23" s="93">
        <v>124</v>
      </c>
      <c r="C23" s="94">
        <f>B23/28.349523</f>
        <v>4.373971301033883</v>
      </c>
      <c r="D23" s="94">
        <f>C23/16</f>
        <v>0.2733732063146177</v>
      </c>
      <c r="E23" s="221" t="s">
        <v>15</v>
      </c>
      <c r="F23" s="92"/>
      <c r="G23" s="92"/>
      <c r="H23" s="149" t="s">
        <v>2089</v>
      </c>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row>
    <row r="24" spans="1:34" ht="12.75">
      <c r="A24" s="319"/>
      <c r="B24" s="93"/>
      <c r="C24" s="94"/>
      <c r="D24" s="134"/>
      <c r="E24" s="221" t="s">
        <v>14</v>
      </c>
      <c r="F24" s="92"/>
      <c r="G24" s="92"/>
      <c r="H24" s="149" t="s">
        <v>2091</v>
      </c>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row>
    <row r="25" spans="1:34" ht="12.75">
      <c r="A25" s="92"/>
      <c r="B25" s="92">
        <v>21</v>
      </c>
      <c r="C25" s="94">
        <f aca="true" t="shared" si="2" ref="C25:C66">B25/28.349523</f>
        <v>0.7407532042073511</v>
      </c>
      <c r="D25" s="92"/>
      <c r="E25" s="92" t="s">
        <v>11</v>
      </c>
      <c r="F25" s="92"/>
      <c r="G25" s="92"/>
      <c r="H25" s="92" t="s">
        <v>893</v>
      </c>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row>
    <row r="26" spans="1:34" ht="12.75">
      <c r="A26" s="92"/>
      <c r="B26" s="92">
        <v>5</v>
      </c>
      <c r="C26" s="94">
        <f t="shared" si="2"/>
        <v>0.1763698105255598</v>
      </c>
      <c r="D26" s="94"/>
      <c r="E26" s="92" t="s">
        <v>28</v>
      </c>
      <c r="F26" s="92"/>
      <c r="G26" s="92"/>
      <c r="H26" s="150" t="s">
        <v>29</v>
      </c>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row>
    <row r="27" spans="1:34" ht="12.75">
      <c r="A27" s="92"/>
      <c r="B27" s="92">
        <v>14</v>
      </c>
      <c r="C27" s="94">
        <f t="shared" si="2"/>
        <v>0.4938354694715675</v>
      </c>
      <c r="D27" s="92"/>
      <c r="E27" s="92" t="s">
        <v>1221</v>
      </c>
      <c r="F27" s="92"/>
      <c r="G27" s="92"/>
      <c r="H27" s="149" t="s">
        <v>2092</v>
      </c>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row>
    <row r="28" spans="1:34" ht="12.75">
      <c r="A28" s="92"/>
      <c r="B28" s="93">
        <v>20</v>
      </c>
      <c r="C28" s="94">
        <f t="shared" si="2"/>
        <v>0.7054792421022392</v>
      </c>
      <c r="D28" s="94"/>
      <c r="E28" s="92" t="s">
        <v>655</v>
      </c>
      <c r="F28" s="92"/>
      <c r="G28" s="92"/>
      <c r="H28" s="92" t="s">
        <v>1432</v>
      </c>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row>
    <row r="29" spans="1:34" ht="12.75">
      <c r="A29" s="92"/>
      <c r="B29" s="93">
        <v>14</v>
      </c>
      <c r="C29" s="94">
        <f t="shared" si="2"/>
        <v>0.4938354694715675</v>
      </c>
      <c r="D29" s="134"/>
      <c r="E29" s="138" t="s">
        <v>342</v>
      </c>
      <c r="F29" s="92"/>
      <c r="G29" s="92"/>
      <c r="H29" s="178" t="s">
        <v>341</v>
      </c>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row>
    <row r="30" spans="1:34" ht="12.75">
      <c r="A30" s="92"/>
      <c r="B30" s="93">
        <v>14</v>
      </c>
      <c r="C30" s="94">
        <f t="shared" si="2"/>
        <v>0.4938354694715675</v>
      </c>
      <c r="D30" s="134"/>
      <c r="E30" s="95" t="s">
        <v>1319</v>
      </c>
      <c r="F30" s="92"/>
      <c r="G30" s="92"/>
      <c r="H30" s="95" t="s">
        <v>1320</v>
      </c>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row>
    <row r="31" spans="1:34" ht="12.75">
      <c r="A31" s="92"/>
      <c r="B31" s="93">
        <f>46/4</f>
        <v>11.5</v>
      </c>
      <c r="C31" s="94">
        <f t="shared" si="2"/>
        <v>0.40565056420878753</v>
      </c>
      <c r="D31" s="94"/>
      <c r="E31" s="150" t="s">
        <v>1776</v>
      </c>
      <c r="F31" s="134"/>
      <c r="G31" s="92"/>
      <c r="H31" s="138" t="s">
        <v>1478</v>
      </c>
      <c r="I31" s="92"/>
      <c r="J31" s="94"/>
      <c r="K31" s="92"/>
      <c r="L31" s="92"/>
      <c r="M31" s="92"/>
      <c r="N31" s="92"/>
      <c r="O31" s="92"/>
      <c r="P31" s="92"/>
      <c r="Q31" s="92"/>
      <c r="R31" s="92"/>
      <c r="S31" s="92"/>
      <c r="T31" s="92"/>
      <c r="U31" s="92"/>
      <c r="V31" s="92"/>
      <c r="W31" s="92"/>
      <c r="X31" s="92"/>
      <c r="Y31" s="92"/>
      <c r="Z31" s="92"/>
      <c r="AA31" s="92"/>
      <c r="AB31" s="92"/>
      <c r="AC31" s="92"/>
      <c r="AD31" s="92"/>
      <c r="AE31" s="92"/>
      <c r="AF31" s="92"/>
      <c r="AG31" s="92"/>
      <c r="AH31" s="92"/>
    </row>
    <row r="32" spans="1:34" ht="12.75">
      <c r="A32" s="92"/>
      <c r="B32" s="92">
        <v>120</v>
      </c>
      <c r="C32" s="94">
        <f t="shared" si="2"/>
        <v>4.232875452613436</v>
      </c>
      <c r="D32" s="92"/>
      <c r="E32" s="140" t="s">
        <v>2113</v>
      </c>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row>
    <row r="33" spans="1:34" ht="12.75">
      <c r="A33" s="92"/>
      <c r="B33" s="92">
        <v>21</v>
      </c>
      <c r="C33" s="94">
        <f t="shared" si="2"/>
        <v>0.7407532042073511</v>
      </c>
      <c r="D33" s="92"/>
      <c r="E33" s="92" t="s">
        <v>646</v>
      </c>
      <c r="F33" s="92"/>
      <c r="G33" s="92"/>
      <c r="H33" s="95" t="s">
        <v>245</v>
      </c>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row>
    <row r="34" spans="1:34" ht="12.75">
      <c r="A34" s="92"/>
      <c r="B34" s="93">
        <f>C34*28.349523</f>
        <v>1403.3013885</v>
      </c>
      <c r="C34" s="94">
        <v>49.5</v>
      </c>
      <c r="D34" s="94">
        <v>3.1</v>
      </c>
      <c r="E34" s="150" t="s">
        <v>1667</v>
      </c>
      <c r="F34" s="92"/>
      <c r="G34" s="92"/>
      <c r="H34" s="92" t="s">
        <v>1983</v>
      </c>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row>
    <row r="35" spans="1:34" ht="12.75">
      <c r="A35" s="150"/>
      <c r="B35" s="93">
        <v>403</v>
      </c>
      <c r="C35" s="94">
        <f t="shared" si="2"/>
        <v>14.21540672836012</v>
      </c>
      <c r="D35" s="94">
        <f>C35/16</f>
        <v>0.8884629205225075</v>
      </c>
      <c r="E35" s="92" t="s">
        <v>1640</v>
      </c>
      <c r="F35" s="134"/>
      <c r="G35" s="92"/>
      <c r="H35" s="92" t="s">
        <v>1641</v>
      </c>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row>
    <row r="36" spans="1:34" ht="12.75">
      <c r="A36" s="150"/>
      <c r="B36" s="93">
        <v>266</v>
      </c>
      <c r="C36" s="94">
        <f t="shared" si="2"/>
        <v>9.382873919959781</v>
      </c>
      <c r="D36" s="94">
        <f>C36/16</f>
        <v>0.5864296199974863</v>
      </c>
      <c r="E36" s="92" t="s">
        <v>1638</v>
      </c>
      <c r="F36" s="134"/>
      <c r="G36" s="92"/>
      <c r="H36" s="92" t="s">
        <v>1639</v>
      </c>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row>
    <row r="37" spans="1:34" ht="12.75">
      <c r="A37" s="92"/>
      <c r="B37" s="93">
        <v>159</v>
      </c>
      <c r="C37" s="94">
        <f t="shared" si="2"/>
        <v>5.608559974712802</v>
      </c>
      <c r="D37" s="94"/>
      <c r="E37" s="92" t="s">
        <v>2008</v>
      </c>
      <c r="F37" s="134"/>
      <c r="G37" s="92"/>
      <c r="H37" s="92" t="s">
        <v>416</v>
      </c>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row>
    <row r="38" spans="1:34" ht="12.75">
      <c r="A38" s="92"/>
      <c r="B38" s="92">
        <v>55</v>
      </c>
      <c r="C38" s="94">
        <f t="shared" si="2"/>
        <v>1.9400679157811578</v>
      </c>
      <c r="D38" s="94"/>
      <c r="E38" s="92" t="s">
        <v>510</v>
      </c>
      <c r="F38" s="92"/>
      <c r="G38" s="92"/>
      <c r="H38" s="139"/>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row>
    <row r="39" spans="1:34" ht="12.75">
      <c r="A39" s="92"/>
      <c r="B39" s="135">
        <v>44</v>
      </c>
      <c r="C39" s="94">
        <f t="shared" si="2"/>
        <v>1.5520543326249263</v>
      </c>
      <c r="D39" s="94"/>
      <c r="E39" s="175" t="s">
        <v>1634</v>
      </c>
      <c r="F39" s="92"/>
      <c r="G39" s="92"/>
      <c r="H39" s="139" t="s">
        <v>1635</v>
      </c>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row>
    <row r="40" spans="1:34" ht="12.75">
      <c r="A40" s="150"/>
      <c r="B40" s="93">
        <v>60</v>
      </c>
      <c r="C40" s="94">
        <f t="shared" si="2"/>
        <v>2.116437726306718</v>
      </c>
      <c r="D40" s="94"/>
      <c r="E40" s="138" t="s">
        <v>23</v>
      </c>
      <c r="F40" s="92"/>
      <c r="G40" s="92"/>
      <c r="H40" s="92"/>
      <c r="I40" s="92"/>
      <c r="J40" s="92"/>
      <c r="K40" s="93"/>
      <c r="L40" s="92"/>
      <c r="M40" s="92"/>
      <c r="N40" s="92"/>
      <c r="O40" s="92"/>
      <c r="P40" s="92"/>
      <c r="Q40" s="92"/>
      <c r="R40" s="92"/>
      <c r="S40" s="92"/>
      <c r="T40" s="92"/>
      <c r="U40" s="92"/>
      <c r="V40" s="92"/>
      <c r="W40" s="92"/>
      <c r="X40" s="92"/>
      <c r="Y40" s="92"/>
      <c r="Z40" s="92"/>
      <c r="AA40" s="92"/>
      <c r="AB40" s="92"/>
      <c r="AC40" s="92"/>
      <c r="AD40" s="92"/>
      <c r="AE40" s="92"/>
      <c r="AF40" s="92"/>
      <c r="AG40" s="92"/>
      <c r="AH40" s="92"/>
    </row>
    <row r="41" spans="1:34" ht="12.75">
      <c r="A41" s="150"/>
      <c r="B41" s="150">
        <v>24</v>
      </c>
      <c r="C41" s="94">
        <f t="shared" si="2"/>
        <v>0.8465750905226871</v>
      </c>
      <c r="D41" s="222"/>
      <c r="E41" s="95" t="s">
        <v>321</v>
      </c>
      <c r="F41" s="92"/>
      <c r="G41" s="92"/>
      <c r="H41" s="92" t="s">
        <v>21</v>
      </c>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row>
    <row r="42" spans="1:34" ht="12.75">
      <c r="A42" s="92"/>
      <c r="B42" s="92">
        <v>36</v>
      </c>
      <c r="C42" s="94">
        <f t="shared" si="2"/>
        <v>1.2698626357840306</v>
      </c>
      <c r="D42" s="94"/>
      <c r="E42" s="150" t="s">
        <v>322</v>
      </c>
      <c r="F42" s="92"/>
      <c r="G42" s="92"/>
      <c r="H42" s="150" t="s">
        <v>2018</v>
      </c>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row>
    <row r="43" spans="2:8" ht="12.75">
      <c r="B43" s="9">
        <v>163</v>
      </c>
      <c r="C43" s="2">
        <f t="shared" si="2"/>
        <v>5.749655823133249</v>
      </c>
      <c r="D43" s="2">
        <f>C43/16</f>
        <v>0.3593534889458281</v>
      </c>
      <c r="E43" s="4" t="s">
        <v>1665</v>
      </c>
      <c r="F43" s="3"/>
      <c r="H43" s="4" t="s">
        <v>1666</v>
      </c>
    </row>
    <row r="44" spans="1:34" ht="12.75">
      <c r="A44" s="92"/>
      <c r="B44" s="93">
        <v>57</v>
      </c>
      <c r="C44" s="94">
        <f t="shared" si="2"/>
        <v>2.010615839991382</v>
      </c>
      <c r="D44" s="94"/>
      <c r="E44" s="126" t="s">
        <v>1315</v>
      </c>
      <c r="F44" s="92"/>
      <c r="G44" s="92"/>
      <c r="H44" s="126" t="s">
        <v>2126</v>
      </c>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row>
    <row r="45" spans="1:34" ht="12.75">
      <c r="A45" s="92"/>
      <c r="B45" s="93">
        <v>44</v>
      </c>
      <c r="C45" s="94">
        <f t="shared" si="2"/>
        <v>1.5520543326249263</v>
      </c>
      <c r="D45" s="94"/>
      <c r="E45" s="92" t="s">
        <v>899</v>
      </c>
      <c r="F45" s="134"/>
      <c r="G45" s="92"/>
      <c r="H45" s="92" t="s">
        <v>380</v>
      </c>
      <c r="I45" s="92"/>
      <c r="J45" s="92"/>
      <c r="K45" s="92"/>
      <c r="L45" s="92"/>
      <c r="M45" s="94"/>
      <c r="N45" s="92"/>
      <c r="O45" s="134"/>
      <c r="P45" s="92"/>
      <c r="Q45" s="92"/>
      <c r="R45" s="92"/>
      <c r="S45" s="92"/>
      <c r="T45" s="92"/>
      <c r="U45" s="92"/>
      <c r="V45" s="92"/>
      <c r="W45" s="92"/>
      <c r="X45" s="92"/>
      <c r="Y45" s="92"/>
      <c r="Z45" s="92"/>
      <c r="AA45" s="92"/>
      <c r="AB45" s="92"/>
      <c r="AC45" s="92"/>
      <c r="AD45" s="92"/>
      <c r="AE45" s="92"/>
      <c r="AF45" s="92"/>
      <c r="AG45" s="92"/>
      <c r="AH45" s="92"/>
    </row>
    <row r="46" spans="1:34" ht="12.75">
      <c r="A46" s="150"/>
      <c r="B46" s="93">
        <v>1865</v>
      </c>
      <c r="C46" s="94">
        <f t="shared" si="2"/>
        <v>65.78593932603381</v>
      </c>
      <c r="D46" s="94">
        <f>C46/16</f>
        <v>4.111621207877113</v>
      </c>
      <c r="E46" s="150" t="s">
        <v>705</v>
      </c>
      <c r="F46" s="134"/>
      <c r="G46" s="92"/>
      <c r="H46" s="150" t="s">
        <v>2115</v>
      </c>
      <c r="I46" s="92"/>
      <c r="J46" s="93"/>
      <c r="K46" s="92"/>
      <c r="L46" s="92"/>
      <c r="M46" s="92"/>
      <c r="N46" s="92"/>
      <c r="O46" s="92"/>
      <c r="P46" s="134"/>
      <c r="Q46" s="134"/>
      <c r="R46" s="92"/>
      <c r="S46" s="92"/>
      <c r="T46" s="92"/>
      <c r="U46" s="92"/>
      <c r="V46" s="92"/>
      <c r="W46" s="92"/>
      <c r="X46" s="92"/>
      <c r="Y46" s="92"/>
      <c r="Z46" s="92"/>
      <c r="AA46" s="92"/>
      <c r="AB46" s="92"/>
      <c r="AC46" s="92"/>
      <c r="AD46" s="92"/>
      <c r="AE46" s="92"/>
      <c r="AF46" s="92"/>
      <c r="AG46" s="92"/>
      <c r="AH46" s="92"/>
    </row>
    <row r="47" spans="1:34" ht="12.75">
      <c r="A47" s="219"/>
      <c r="B47" s="135">
        <v>158</v>
      </c>
      <c r="C47" s="94">
        <f t="shared" si="2"/>
        <v>5.5732860126076895</v>
      </c>
      <c r="D47" s="94">
        <f>C47/16</f>
        <v>0.3483303757879806</v>
      </c>
      <c r="E47" s="150" t="s">
        <v>2117</v>
      </c>
      <c r="F47" s="134"/>
      <c r="G47" s="92"/>
      <c r="H47" s="139" t="s">
        <v>1527</v>
      </c>
      <c r="I47" s="92"/>
      <c r="J47" s="92"/>
      <c r="K47" s="92"/>
      <c r="L47" s="92"/>
      <c r="M47" s="94"/>
      <c r="N47" s="92"/>
      <c r="O47" s="92"/>
      <c r="P47" s="92"/>
      <c r="Q47" s="92"/>
      <c r="R47" s="92"/>
      <c r="S47" s="92"/>
      <c r="T47" s="92"/>
      <c r="U47" s="92"/>
      <c r="V47" s="92"/>
      <c r="W47" s="92"/>
      <c r="X47" s="92"/>
      <c r="Y47" s="92"/>
      <c r="Z47" s="228" t="s">
        <v>1169</v>
      </c>
      <c r="AA47" s="92"/>
      <c r="AB47" s="92"/>
      <c r="AC47" s="92"/>
      <c r="AD47" s="92"/>
      <c r="AE47" s="92"/>
      <c r="AF47" s="92"/>
      <c r="AG47" s="92"/>
      <c r="AH47" s="92"/>
    </row>
    <row r="48" spans="1:34" ht="12.75">
      <c r="A48" s="92"/>
      <c r="B48" s="135">
        <v>362</v>
      </c>
      <c r="C48" s="94">
        <f t="shared" si="2"/>
        <v>12.76917428205053</v>
      </c>
      <c r="D48" s="94">
        <f>C48/16</f>
        <v>0.7980733926281581</v>
      </c>
      <c r="E48" s="223" t="s">
        <v>1831</v>
      </c>
      <c r="F48" s="92"/>
      <c r="G48" s="92"/>
      <c r="H48" s="139" t="s">
        <v>997</v>
      </c>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row>
    <row r="49" spans="1:34" ht="12.75">
      <c r="A49" s="92"/>
      <c r="B49" s="92">
        <v>44</v>
      </c>
      <c r="C49" s="94">
        <f t="shared" si="2"/>
        <v>1.5520543326249263</v>
      </c>
      <c r="D49" s="92"/>
      <c r="E49" s="92" t="s">
        <v>1767</v>
      </c>
      <c r="F49" s="92"/>
      <c r="G49" s="92"/>
      <c r="H49" s="92" t="s">
        <v>1768</v>
      </c>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row>
    <row r="50" spans="1:34" ht="12.75">
      <c r="A50" s="92"/>
      <c r="B50" s="93">
        <v>102</v>
      </c>
      <c r="C50" s="94">
        <f aca="true" t="shared" si="3" ref="C50:C65">B50/28.349523</f>
        <v>3.59794413472142</v>
      </c>
      <c r="D50" s="94"/>
      <c r="E50" s="92" t="s">
        <v>1682</v>
      </c>
      <c r="F50" s="134"/>
      <c r="G50" s="92"/>
      <c r="H50" s="92" t="s">
        <v>993</v>
      </c>
      <c r="I50" s="92"/>
      <c r="J50" s="92"/>
      <c r="K50" s="92"/>
      <c r="L50" s="92"/>
      <c r="M50" s="94"/>
      <c r="N50" s="92"/>
      <c r="O50" s="134"/>
      <c r="P50" s="92"/>
      <c r="Q50" s="92"/>
      <c r="R50" s="92"/>
      <c r="S50" s="92"/>
      <c r="T50" s="92"/>
      <c r="U50" s="92"/>
      <c r="V50" s="92"/>
      <c r="W50" s="92"/>
      <c r="X50" s="92"/>
      <c r="Y50" s="92"/>
      <c r="Z50" s="92"/>
      <c r="AA50" s="92"/>
      <c r="AB50" s="92"/>
      <c r="AC50" s="92"/>
      <c r="AD50" s="92"/>
      <c r="AE50" s="92"/>
      <c r="AF50" s="92"/>
      <c r="AG50" s="92"/>
      <c r="AH50" s="92"/>
    </row>
    <row r="51" spans="2:6" ht="12.75">
      <c r="B51" s="9">
        <v>251</v>
      </c>
      <c r="C51" s="2">
        <f t="shared" si="3"/>
        <v>8.853764488383103</v>
      </c>
      <c r="D51" s="2">
        <f aca="true" t="shared" si="4" ref="D51:D66">C51/16</f>
        <v>0.5533602805239439</v>
      </c>
      <c r="E51" s="4" t="s">
        <v>2127</v>
      </c>
      <c r="F51" s="3"/>
    </row>
    <row r="52" spans="1:34" ht="12.75">
      <c r="A52" s="92"/>
      <c r="B52" s="93">
        <f>746+747</f>
        <v>1493</v>
      </c>
      <c r="C52" s="94">
        <f t="shared" si="3"/>
        <v>52.664025422932156</v>
      </c>
      <c r="D52" s="94">
        <f t="shared" si="4"/>
        <v>3.2915015889332597</v>
      </c>
      <c r="E52" s="138" t="s">
        <v>1491</v>
      </c>
      <c r="F52" s="134"/>
      <c r="G52" s="92"/>
      <c r="H52" s="92" t="s">
        <v>1492</v>
      </c>
      <c r="I52" s="92"/>
      <c r="J52" s="92"/>
      <c r="K52" s="92"/>
      <c r="L52" s="92"/>
      <c r="M52" s="94"/>
      <c r="N52" s="92"/>
      <c r="O52" s="134"/>
      <c r="P52" s="92"/>
      <c r="Q52" s="92"/>
      <c r="R52" s="92"/>
      <c r="S52" s="92"/>
      <c r="T52" s="92"/>
      <c r="U52" s="92"/>
      <c r="V52" s="92"/>
      <c r="W52" s="92"/>
      <c r="X52" s="92"/>
      <c r="Y52" s="92"/>
      <c r="Z52" s="92"/>
      <c r="AA52" s="92"/>
      <c r="AB52" s="92"/>
      <c r="AC52" s="92"/>
      <c r="AD52" s="92"/>
      <c r="AE52" s="92"/>
      <c r="AF52" s="92"/>
      <c r="AG52" s="92"/>
      <c r="AH52" s="92"/>
    </row>
    <row r="53" spans="1:34" ht="12.75">
      <c r="A53" s="92"/>
      <c r="B53" s="93">
        <v>634</v>
      </c>
      <c r="C53" s="94">
        <f t="shared" si="3"/>
        <v>22.363691974640982</v>
      </c>
      <c r="D53" s="94">
        <f t="shared" si="4"/>
        <v>1.3977307484150614</v>
      </c>
      <c r="E53" s="150" t="s">
        <v>2118</v>
      </c>
      <c r="F53" s="92"/>
      <c r="G53" s="92"/>
      <c r="H53" s="92" t="s">
        <v>197</v>
      </c>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row>
    <row r="54" spans="1:34" ht="12.75">
      <c r="A54" s="92"/>
      <c r="B54" s="93">
        <v>408</v>
      </c>
      <c r="C54" s="94">
        <f t="shared" si="3"/>
        <v>14.39177653888568</v>
      </c>
      <c r="D54" s="94">
        <f t="shared" si="4"/>
        <v>0.899486033680355</v>
      </c>
      <c r="E54" s="150" t="s">
        <v>2119</v>
      </c>
      <c r="F54" s="134"/>
      <c r="G54" s="92"/>
      <c r="H54" s="126" t="s">
        <v>2065</v>
      </c>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row>
    <row r="55" spans="1:34" ht="12.75">
      <c r="A55" s="92"/>
      <c r="B55" s="137">
        <v>338</v>
      </c>
      <c r="C55" s="94">
        <f t="shared" si="3"/>
        <v>11.922599191527842</v>
      </c>
      <c r="D55" s="94">
        <f t="shared" si="4"/>
        <v>0.7451624494704902</v>
      </c>
      <c r="E55" s="138" t="s">
        <v>2128</v>
      </c>
      <c r="F55" s="134"/>
      <c r="G55" s="92"/>
      <c r="H55" s="92"/>
      <c r="I55" s="92"/>
      <c r="J55" s="229">
        <f>C55/11.2</f>
        <v>1.064517784957843</v>
      </c>
      <c r="K55" s="92" t="s">
        <v>1428</v>
      </c>
      <c r="L55" s="92"/>
      <c r="M55" s="92"/>
      <c r="N55" s="92"/>
      <c r="O55" s="92">
        <v>24.5</v>
      </c>
      <c r="P55" s="92" t="s">
        <v>2131</v>
      </c>
      <c r="Q55" s="92"/>
      <c r="R55" s="92"/>
      <c r="S55" s="230">
        <f>24.5/24</f>
        <v>1.0208333333333333</v>
      </c>
      <c r="T55" s="92" t="s">
        <v>2132</v>
      </c>
      <c r="U55" s="92"/>
      <c r="V55" s="92"/>
      <c r="W55" s="92"/>
      <c r="X55" s="92"/>
      <c r="Y55" s="92"/>
      <c r="Z55" s="92"/>
      <c r="AA55" s="92"/>
      <c r="AB55" s="92"/>
      <c r="AC55" s="92"/>
      <c r="AD55" s="92"/>
      <c r="AE55" s="92"/>
      <c r="AF55" s="92"/>
      <c r="AG55" s="92"/>
      <c r="AH55" s="92"/>
    </row>
    <row r="56" spans="1:5" ht="12.75">
      <c r="A56" t="s">
        <v>1379</v>
      </c>
      <c r="B56" s="9">
        <v>651</v>
      </c>
      <c r="C56" s="2">
        <f aca="true" t="shared" si="5" ref="C56:C62">B56/28.349523</f>
        <v>22.963349330427885</v>
      </c>
      <c r="D56" s="2">
        <f>C56/16</f>
        <v>1.4352093331517428</v>
      </c>
      <c r="E56" s="12" t="s">
        <v>1529</v>
      </c>
    </row>
    <row r="57" spans="1:8" ht="12.75">
      <c r="A57" s="147" t="s">
        <v>1384</v>
      </c>
      <c r="B57" s="57">
        <v>50</v>
      </c>
      <c r="C57" s="55">
        <f t="shared" si="5"/>
        <v>1.763698105255598</v>
      </c>
      <c r="D57" s="55"/>
      <c r="E57" s="97" t="s">
        <v>620</v>
      </c>
      <c r="F57" s="92"/>
      <c r="H57" s="12"/>
    </row>
    <row r="58" spans="1:8" ht="12.75">
      <c r="A58" t="s">
        <v>1384</v>
      </c>
      <c r="B58" s="9">
        <v>72</v>
      </c>
      <c r="C58" s="2">
        <f t="shared" si="5"/>
        <v>2.539725271568061</v>
      </c>
      <c r="D58" s="2">
        <f>C58/16</f>
        <v>0.15873282947300382</v>
      </c>
      <c r="E58" s="12" t="s">
        <v>1391</v>
      </c>
      <c r="H58" s="13" t="s">
        <v>759</v>
      </c>
    </row>
    <row r="59" spans="1:8" ht="12.75">
      <c r="A59" s="54" t="s">
        <v>1389</v>
      </c>
      <c r="B59" s="57">
        <v>88</v>
      </c>
      <c r="C59" s="55">
        <f t="shared" si="5"/>
        <v>3.1041086652498526</v>
      </c>
      <c r="D59" s="55"/>
      <c r="E59" s="238" t="s">
        <v>1899</v>
      </c>
      <c r="H59" s="13"/>
    </row>
    <row r="60" spans="1:6" ht="12.75">
      <c r="A60" s="147" t="s">
        <v>1390</v>
      </c>
      <c r="B60" s="57">
        <v>88</v>
      </c>
      <c r="C60" s="55">
        <f t="shared" si="5"/>
        <v>3.1041086652498526</v>
      </c>
      <c r="D60" s="55"/>
      <c r="E60" t="s">
        <v>1178</v>
      </c>
      <c r="F60" s="3"/>
    </row>
    <row r="61" spans="2:8" ht="12.75">
      <c r="B61" s="9">
        <v>21</v>
      </c>
      <c r="C61" s="2">
        <f t="shared" si="5"/>
        <v>0.7407532042073511</v>
      </c>
      <c r="D61" s="2"/>
      <c r="E61" s="12" t="s">
        <v>1375</v>
      </c>
      <c r="H61" s="12" t="s">
        <v>1374</v>
      </c>
    </row>
    <row r="62" spans="1:5" ht="12.75">
      <c r="A62" s="214" t="s">
        <v>1901</v>
      </c>
      <c r="B62" s="16">
        <v>52</v>
      </c>
      <c r="C62" s="2">
        <f t="shared" si="5"/>
        <v>1.834246029465822</v>
      </c>
      <c r="D62" s="2">
        <f>C62/16</f>
        <v>0.11464037684161388</v>
      </c>
      <c r="E62" s="4" t="s">
        <v>127</v>
      </c>
    </row>
    <row r="63" spans="1:8" ht="15">
      <c r="A63" t="s">
        <v>1775</v>
      </c>
      <c r="B63" s="31">
        <v>134</v>
      </c>
      <c r="C63" s="2">
        <f t="shared" si="3"/>
        <v>4.726710922085003</v>
      </c>
      <c r="D63" s="2">
        <f t="shared" si="4"/>
        <v>0.2954194326303127</v>
      </c>
      <c r="E63" s="95" t="s">
        <v>1371</v>
      </c>
      <c r="F63" s="12"/>
      <c r="H63" t="s">
        <v>1370</v>
      </c>
    </row>
    <row r="64" spans="1:34" ht="12.75">
      <c r="A64" s="92"/>
      <c r="B64" s="93">
        <f>SUM(B3:B55)</f>
        <v>12351.8013885</v>
      </c>
      <c r="C64" s="93">
        <f t="shared" si="3"/>
        <v>435.6969741078183</v>
      </c>
      <c r="D64" s="94">
        <f t="shared" si="4"/>
        <v>27.231060881738642</v>
      </c>
      <c r="E64" s="92" t="s">
        <v>435</v>
      </c>
      <c r="F64" s="134"/>
      <c r="G64" s="92"/>
      <c r="H64" s="92"/>
      <c r="I64" s="92"/>
      <c r="J64" s="92"/>
      <c r="K64" s="92"/>
      <c r="L64" s="92"/>
      <c r="M64" s="94"/>
      <c r="N64" s="92"/>
      <c r="O64" s="134"/>
      <c r="P64" s="92"/>
      <c r="Q64" s="92"/>
      <c r="R64" s="92"/>
      <c r="S64" s="92"/>
      <c r="T64" s="92"/>
      <c r="U64" s="92"/>
      <c r="V64" s="92"/>
      <c r="W64" s="92"/>
      <c r="X64" s="92"/>
      <c r="Y64" s="92"/>
      <c r="Z64" s="92"/>
      <c r="AA64" s="92"/>
      <c r="AB64" s="92"/>
      <c r="AC64" s="92"/>
      <c r="AD64" s="92"/>
      <c r="AE64" s="92"/>
      <c r="AF64" s="92"/>
      <c r="AG64" s="92"/>
      <c r="AH64" s="92"/>
    </row>
    <row r="65" spans="1:34" ht="12.75">
      <c r="A65" s="92"/>
      <c r="B65" s="220">
        <f>3361-240</f>
        <v>3121</v>
      </c>
      <c r="C65" s="220">
        <f t="shared" si="3"/>
        <v>110.09003573005442</v>
      </c>
      <c r="D65" s="224">
        <f t="shared" si="4"/>
        <v>6.8806272331284015</v>
      </c>
      <c r="E65" s="152" t="s">
        <v>2120</v>
      </c>
      <c r="F65" s="134"/>
      <c r="G65" s="92"/>
      <c r="H65" s="92"/>
      <c r="I65" s="92"/>
      <c r="J65" s="92"/>
      <c r="K65" s="92"/>
      <c r="L65" s="92"/>
      <c r="M65" s="94"/>
      <c r="N65" s="92"/>
      <c r="O65" s="134"/>
      <c r="P65" s="92"/>
      <c r="Q65" s="92"/>
      <c r="R65" s="92"/>
      <c r="S65" s="92"/>
      <c r="T65" s="92"/>
      <c r="U65" s="92"/>
      <c r="V65" s="92"/>
      <c r="W65" s="92"/>
      <c r="X65" s="92"/>
      <c r="Y65" s="92"/>
      <c r="Z65" s="92"/>
      <c r="AA65" s="92"/>
      <c r="AB65" s="92"/>
      <c r="AC65" s="92"/>
      <c r="AD65" s="92"/>
      <c r="AE65" s="92"/>
      <c r="AF65" s="92"/>
      <c r="AG65" s="92"/>
      <c r="AH65" s="92"/>
    </row>
    <row r="66" spans="1:34" ht="12.75">
      <c r="A66" s="92"/>
      <c r="B66" s="93">
        <f>B64+B65</f>
        <v>15472.8013885</v>
      </c>
      <c r="C66" s="93">
        <f t="shared" si="2"/>
        <v>545.7870098378727</v>
      </c>
      <c r="D66" s="94">
        <f t="shared" si="4"/>
        <v>34.11168811486704</v>
      </c>
      <c r="E66" s="152" t="s">
        <v>677</v>
      </c>
      <c r="F66" s="134"/>
      <c r="G66" s="92"/>
      <c r="H66" s="92"/>
      <c r="I66" s="92"/>
      <c r="J66" s="92"/>
      <c r="K66" s="92"/>
      <c r="L66" s="92"/>
      <c r="M66" s="94"/>
      <c r="N66" s="92"/>
      <c r="O66" s="134"/>
      <c r="P66" s="92"/>
      <c r="Q66" s="92"/>
      <c r="R66" s="92"/>
      <c r="S66" s="92"/>
      <c r="T66" s="92"/>
      <c r="U66" s="92"/>
      <c r="V66" s="92"/>
      <c r="W66" s="92"/>
      <c r="X66" s="92"/>
      <c r="Y66" s="92"/>
      <c r="Z66" s="92"/>
      <c r="AA66" s="92"/>
      <c r="AB66" s="92"/>
      <c r="AC66" s="92"/>
      <c r="AD66" s="92"/>
      <c r="AE66" s="92"/>
      <c r="AF66" s="92"/>
      <c r="AG66" s="92"/>
      <c r="AH66" s="92"/>
    </row>
    <row r="67" spans="1:34" ht="12.75">
      <c r="A67" s="92"/>
      <c r="B67" s="92">
        <v>19</v>
      </c>
      <c r="C67" s="94">
        <f>B67/28.349523</f>
        <v>0.6702052799971272</v>
      </c>
      <c r="D67" s="92"/>
      <c r="E67" s="92" t="s">
        <v>941</v>
      </c>
      <c r="F67" s="92"/>
      <c r="G67" s="92"/>
      <c r="H67" s="92" t="s">
        <v>942</v>
      </c>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row>
    <row r="68" spans="1:34" ht="12.75">
      <c r="A68" s="92"/>
      <c r="B68" s="92">
        <v>29</v>
      </c>
      <c r="C68" s="94">
        <f aca="true" t="shared" si="6" ref="C68:C81">B68/28.349523</f>
        <v>1.0229449010482468</v>
      </c>
      <c r="D68" s="92"/>
      <c r="E68" s="92" t="s">
        <v>657</v>
      </c>
      <c r="F68" s="92"/>
      <c r="G68" s="92"/>
      <c r="H68" s="92" t="s">
        <v>1619</v>
      </c>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row>
    <row r="69" spans="1:34" ht="12.75">
      <c r="A69" s="150"/>
      <c r="B69" s="93">
        <v>270</v>
      </c>
      <c r="C69" s="94">
        <f t="shared" si="6"/>
        <v>9.52396976838023</v>
      </c>
      <c r="D69" s="94">
        <f>C69/16</f>
        <v>0.5952481105237644</v>
      </c>
      <c r="E69" s="221" t="s">
        <v>34</v>
      </c>
      <c r="F69" s="92"/>
      <c r="G69" s="92"/>
      <c r="H69" s="149" t="s">
        <v>1050</v>
      </c>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row>
    <row r="70" spans="1:34" ht="12.75">
      <c r="A70" s="92"/>
      <c r="B70" s="93">
        <v>324</v>
      </c>
      <c r="C70" s="94">
        <f t="shared" si="6"/>
        <v>11.428763722056276</v>
      </c>
      <c r="D70" s="94">
        <f>C70/16</f>
        <v>0.7142977326285173</v>
      </c>
      <c r="E70" s="92" t="s">
        <v>2014</v>
      </c>
      <c r="F70" s="134"/>
      <c r="G70" s="92"/>
      <c r="H70" s="92" t="s">
        <v>2015</v>
      </c>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row>
    <row r="71" spans="1:34" ht="12.75">
      <c r="A71" s="92"/>
      <c r="B71" s="92">
        <v>107</v>
      </c>
      <c r="C71" s="94">
        <f t="shared" si="6"/>
        <v>3.7743139452469796</v>
      </c>
      <c r="D71" s="94"/>
      <c r="E71" s="92" t="s">
        <v>658</v>
      </c>
      <c r="F71" s="92"/>
      <c r="G71" s="92"/>
      <c r="H71" s="92" t="s">
        <v>785</v>
      </c>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row>
    <row r="72" spans="1:34" ht="12.75">
      <c r="A72" s="92"/>
      <c r="B72" s="92">
        <v>50</v>
      </c>
      <c r="C72" s="94">
        <f t="shared" si="6"/>
        <v>1.763698105255598</v>
      </c>
      <c r="D72" s="92"/>
      <c r="E72" s="92" t="s">
        <v>137</v>
      </c>
      <c r="F72" s="92"/>
      <c r="G72" s="92"/>
      <c r="H72" s="92" t="s">
        <v>786</v>
      </c>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row>
    <row r="73" spans="2:6" ht="12.75">
      <c r="B73" s="9">
        <v>219</v>
      </c>
      <c r="C73" s="2">
        <f t="shared" si="6"/>
        <v>7.724997701019519</v>
      </c>
      <c r="D73" s="2">
        <f>C73/16</f>
        <v>0.48281235631371994</v>
      </c>
      <c r="E73" t="s">
        <v>1048</v>
      </c>
      <c r="F73" s="3"/>
    </row>
    <row r="74" spans="1:34" ht="12.75">
      <c r="A74" s="92"/>
      <c r="B74" s="92">
        <v>35</v>
      </c>
      <c r="C74" s="94">
        <f t="shared" si="6"/>
        <v>1.2345886736789187</v>
      </c>
      <c r="D74" s="94"/>
      <c r="E74" s="150" t="s">
        <v>322</v>
      </c>
      <c r="F74" s="92"/>
      <c r="G74" s="92"/>
      <c r="H74" s="150" t="s">
        <v>2018</v>
      </c>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row>
    <row r="75" spans="1:34" ht="12.75">
      <c r="A75" s="150"/>
      <c r="B75" s="93">
        <v>40</v>
      </c>
      <c r="C75" s="94">
        <f t="shared" si="6"/>
        <v>1.4109584842044784</v>
      </c>
      <c r="D75" s="94"/>
      <c r="E75" s="138" t="s">
        <v>1172</v>
      </c>
      <c r="F75" s="92"/>
      <c r="G75" s="92"/>
      <c r="H75" s="150" t="s">
        <v>22</v>
      </c>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row>
    <row r="76" spans="1:34" ht="12.75">
      <c r="A76" s="150"/>
      <c r="B76" s="150">
        <v>23</v>
      </c>
      <c r="C76" s="94">
        <f t="shared" si="6"/>
        <v>0.8113011284175751</v>
      </c>
      <c r="D76" s="222"/>
      <c r="E76" s="95" t="s">
        <v>321</v>
      </c>
      <c r="F76" s="92"/>
      <c r="G76" s="92"/>
      <c r="H76" s="92" t="s">
        <v>21</v>
      </c>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row>
    <row r="77" spans="1:34" ht="12.75">
      <c r="A77" s="150"/>
      <c r="B77" s="93">
        <v>60</v>
      </c>
      <c r="C77" s="94">
        <f t="shared" si="6"/>
        <v>2.116437726306718</v>
      </c>
      <c r="D77" s="94"/>
      <c r="E77" s="138" t="s">
        <v>24</v>
      </c>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row>
    <row r="78" spans="1:34" ht="12.75">
      <c r="A78" s="92"/>
      <c r="B78" s="93">
        <v>1453</v>
      </c>
      <c r="C78" s="94">
        <f t="shared" si="6"/>
        <v>51.25306693872768</v>
      </c>
      <c r="D78" s="94">
        <f>C78/16</f>
        <v>3.20331668367048</v>
      </c>
      <c r="E78" s="138" t="s">
        <v>25</v>
      </c>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row>
    <row r="79" spans="1:34" ht="12.75">
      <c r="A79" s="92"/>
      <c r="B79" s="93">
        <v>57</v>
      </c>
      <c r="C79" s="94">
        <f t="shared" si="6"/>
        <v>2.010615839991382</v>
      </c>
      <c r="D79" s="94"/>
      <c r="E79" s="92" t="s">
        <v>1194</v>
      </c>
      <c r="F79" s="134"/>
      <c r="G79" s="92"/>
      <c r="H79" s="92" t="s">
        <v>439</v>
      </c>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row>
    <row r="80" spans="1:34" ht="12.75">
      <c r="A80" s="150"/>
      <c r="B80" s="93">
        <f>SUM(B68:B79)</f>
        <v>2667</v>
      </c>
      <c r="C80" s="225">
        <f t="shared" si="6"/>
        <v>94.0756569343336</v>
      </c>
      <c r="D80" s="94">
        <f>C80/16</f>
        <v>5.87972855839585</v>
      </c>
      <c r="E80" s="138" t="s">
        <v>1509</v>
      </c>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row>
    <row r="81" spans="1:34" ht="12.75">
      <c r="A81" s="150"/>
      <c r="B81" s="93">
        <f>B66+B80</f>
        <v>18139.8013885</v>
      </c>
      <c r="C81" s="226">
        <f t="shared" si="6"/>
        <v>639.8626667722064</v>
      </c>
      <c r="D81" s="94">
        <f>C81/16</f>
        <v>39.9914166732629</v>
      </c>
      <c r="E81" s="126" t="s">
        <v>2086</v>
      </c>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row>
    <row r="82" spans="1:34" ht="12.75">
      <c r="A82" s="150"/>
      <c r="B82" s="93"/>
      <c r="C82" s="226"/>
      <c r="D82" s="94"/>
      <c r="E82" s="126"/>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row>
    <row r="83" spans="1:27" ht="12.75">
      <c r="A83" s="227"/>
      <c r="B83" s="92"/>
      <c r="C83" s="94" t="s">
        <v>514</v>
      </c>
      <c r="D83" s="92"/>
      <c r="E83" s="92"/>
      <c r="F83" s="92"/>
      <c r="G83" s="92"/>
      <c r="H83" s="92"/>
      <c r="I83" s="92"/>
      <c r="J83" s="92"/>
      <c r="K83" s="92"/>
      <c r="L83" s="92"/>
      <c r="M83" s="92"/>
      <c r="N83" s="92"/>
      <c r="O83" s="92"/>
      <c r="P83" s="92"/>
      <c r="Q83" s="92"/>
      <c r="R83" s="92"/>
      <c r="S83" s="92"/>
      <c r="T83" s="92"/>
      <c r="U83" s="92"/>
      <c r="V83" s="92"/>
      <c r="W83" s="92"/>
      <c r="X83" s="92"/>
      <c r="Y83" s="92"/>
      <c r="Z83" s="92"/>
      <c r="AA83" s="92"/>
    </row>
    <row r="84" spans="1:27" ht="12.75">
      <c r="A84" s="227"/>
      <c r="B84" s="92"/>
      <c r="C84" s="94" t="s">
        <v>513</v>
      </c>
      <c r="D84" s="92"/>
      <c r="E84" s="92"/>
      <c r="F84" s="92"/>
      <c r="G84" s="92"/>
      <c r="H84" s="92"/>
      <c r="I84" s="92"/>
      <c r="J84" s="92"/>
      <c r="K84" s="92"/>
      <c r="L84" s="92"/>
      <c r="M84" s="92"/>
      <c r="N84" s="92"/>
      <c r="O84" s="92"/>
      <c r="P84" s="92"/>
      <c r="Q84" s="92"/>
      <c r="R84" s="92"/>
      <c r="S84" s="92"/>
      <c r="T84" s="92"/>
      <c r="U84" s="92"/>
      <c r="V84" s="92"/>
      <c r="W84" s="92"/>
      <c r="X84" s="92"/>
      <c r="Y84" s="92"/>
      <c r="Z84" s="92"/>
      <c r="AA84" s="92"/>
    </row>
    <row r="85" spans="1:34" ht="12.75">
      <c r="A85" s="227" t="s">
        <v>1717</v>
      </c>
      <c r="B85" s="92"/>
      <c r="C85" s="94" t="s">
        <v>1622</v>
      </c>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row>
    <row r="86" spans="1:34" ht="12.75">
      <c r="A86" s="227"/>
      <c r="B86" s="92"/>
      <c r="C86" s="94" t="s">
        <v>1623</v>
      </c>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row>
    <row r="87" spans="1:34" ht="12.75">
      <c r="A87" s="227"/>
      <c r="B87" s="93"/>
      <c r="C87" s="94" t="s">
        <v>919</v>
      </c>
      <c r="D87" s="94"/>
      <c r="E87" s="138"/>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row>
    <row r="88" spans="1:34" ht="12.75">
      <c r="A88" s="227"/>
      <c r="B88" s="92"/>
      <c r="C88" s="94" t="s">
        <v>1624</v>
      </c>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row>
    <row r="89" spans="1:34" ht="12.75">
      <c r="A89" s="227"/>
      <c r="B89" s="92"/>
      <c r="C89" s="94" t="s">
        <v>2021</v>
      </c>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row>
    <row r="90" spans="1:34" ht="12.75">
      <c r="A90" s="227"/>
      <c r="B90" s="92"/>
      <c r="C90" s="222" t="s">
        <v>903</v>
      </c>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row>
    <row r="91" spans="1:34" ht="12.75">
      <c r="A91" s="227"/>
      <c r="B91" s="92"/>
      <c r="C91" s="222" t="s">
        <v>923</v>
      </c>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row>
    <row r="92" spans="1:34" ht="12.75">
      <c r="A92" s="227"/>
      <c r="B92" s="92"/>
      <c r="C92" s="222" t="s">
        <v>924</v>
      </c>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row>
    <row r="93" spans="1:34" ht="12.75">
      <c r="A93" s="227" t="s">
        <v>1410</v>
      </c>
      <c r="B93" s="92"/>
      <c r="C93" s="222" t="s">
        <v>511</v>
      </c>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row>
    <row r="94" spans="1:34" ht="12.75">
      <c r="A94" s="227" t="s">
        <v>1717</v>
      </c>
      <c r="B94" s="92"/>
      <c r="C94" s="222" t="s">
        <v>221</v>
      </c>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row>
    <row r="95" spans="1:34" ht="12.75">
      <c r="A95" s="227"/>
      <c r="B95" s="92"/>
      <c r="C95" s="222" t="s">
        <v>926</v>
      </c>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row>
    <row r="96" spans="1:34" ht="12.75">
      <c r="A96" s="227"/>
      <c r="B96" s="92"/>
      <c r="C96" s="222" t="s">
        <v>1117</v>
      </c>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row>
    <row r="97" spans="1:34" ht="12.75">
      <c r="A97" s="227"/>
      <c r="B97" s="92"/>
      <c r="C97" s="222" t="s">
        <v>908</v>
      </c>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row>
    <row r="98" spans="1:34" ht="12.75">
      <c r="A98" s="227"/>
      <c r="B98" s="92"/>
      <c r="C98" s="222" t="s">
        <v>928</v>
      </c>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row>
    <row r="99" spans="1:34" ht="12.75">
      <c r="A99" s="227"/>
      <c r="B99" s="92"/>
      <c r="C99" s="222" t="s">
        <v>1162</v>
      </c>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row>
    <row r="100" spans="1:34" ht="12.75">
      <c r="A100" s="227"/>
      <c r="B100" s="92"/>
      <c r="C100" s="222" t="s">
        <v>929</v>
      </c>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row>
    <row r="101" spans="1:34" ht="12.75">
      <c r="A101" s="227"/>
      <c r="B101" s="93"/>
      <c r="C101" s="94" t="s">
        <v>884</v>
      </c>
      <c r="D101" s="94"/>
      <c r="E101" s="138"/>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row>
    <row r="102" spans="1:34" ht="12.75">
      <c r="A102" s="227"/>
      <c r="B102" s="93"/>
      <c r="C102" s="94" t="s">
        <v>931</v>
      </c>
      <c r="D102" s="94"/>
      <c r="E102" s="138"/>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row>
    <row r="103" spans="1:34" ht="12.75">
      <c r="A103" s="227" t="s">
        <v>1410</v>
      </c>
      <c r="B103" s="92"/>
      <c r="C103" s="94" t="s">
        <v>1663</v>
      </c>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row>
    <row r="104" spans="1:34" ht="12.75">
      <c r="A104" s="227" t="s">
        <v>1410</v>
      </c>
      <c r="B104" s="92"/>
      <c r="C104" s="94" t="s">
        <v>888</v>
      </c>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row>
    <row r="105" spans="1:27" ht="12.75">
      <c r="A105" s="227" t="s">
        <v>1410</v>
      </c>
      <c r="B105" s="92"/>
      <c r="C105" s="94" t="s">
        <v>512</v>
      </c>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row>
    <row r="106" spans="1:34" ht="12.75">
      <c r="A106" s="227" t="s">
        <v>1410</v>
      </c>
      <c r="B106" s="92"/>
      <c r="C106" s="94" t="s">
        <v>1662</v>
      </c>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row>
    <row r="107" spans="1:34" ht="12.75">
      <c r="A107" s="227"/>
      <c r="B107" s="92"/>
      <c r="C107" s="94" t="s">
        <v>890</v>
      </c>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row>
    <row r="108" spans="1:34" ht="12.75">
      <c r="A108" s="227" t="s">
        <v>1410</v>
      </c>
      <c r="B108" s="92"/>
      <c r="C108" s="94" t="s">
        <v>905</v>
      </c>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row>
    <row r="109" spans="1:34" ht="12.75">
      <c r="A109" s="227" t="s">
        <v>1410</v>
      </c>
      <c r="B109" s="92"/>
      <c r="C109" s="94" t="s">
        <v>907</v>
      </c>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row>
    <row r="110" spans="1:34" ht="12.75">
      <c r="A110" s="227"/>
      <c r="B110" s="92"/>
      <c r="C110" s="94" t="s">
        <v>897</v>
      </c>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row>
    <row r="111" spans="1:34" ht="12.75">
      <c r="A111" s="227" t="s">
        <v>1410</v>
      </c>
      <c r="B111" s="92"/>
      <c r="C111" s="94" t="s">
        <v>895</v>
      </c>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row>
    <row r="112" spans="1:34" ht="12.75">
      <c r="A112" s="227" t="s">
        <v>1410</v>
      </c>
      <c r="B112" s="92"/>
      <c r="C112" s="222" t="s">
        <v>881</v>
      </c>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row>
    <row r="113" spans="1:34" ht="12.75">
      <c r="A113" s="227" t="s">
        <v>1410</v>
      </c>
      <c r="B113" s="92"/>
      <c r="C113" s="222" t="s">
        <v>193</v>
      </c>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row>
    <row r="114" spans="1:34" ht="12.75">
      <c r="A114" s="227" t="s">
        <v>1716</v>
      </c>
      <c r="B114" s="93"/>
      <c r="C114" s="94" t="s">
        <v>1661</v>
      </c>
      <c r="D114" s="94"/>
      <c r="E114" s="138"/>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row>
    <row r="115" spans="1:34" ht="12.75">
      <c r="A115" s="227"/>
      <c r="B115" s="93"/>
      <c r="C115" s="138" t="s">
        <v>33</v>
      </c>
      <c r="D115" s="94"/>
      <c r="E115" s="138"/>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row>
    <row r="116" spans="1:34" ht="12.75">
      <c r="A116" s="92"/>
      <c r="B116" s="93"/>
      <c r="C116" s="94" t="s">
        <v>921</v>
      </c>
      <c r="D116" s="94"/>
      <c r="E116" s="138"/>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row>
    <row r="117" spans="1:34" ht="12.75">
      <c r="A117" s="92"/>
      <c r="B117" s="93"/>
      <c r="C117" s="92" t="s">
        <v>1189</v>
      </c>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row>
    <row r="118" spans="1:34" ht="12.75">
      <c r="A118" s="227" t="s">
        <v>1410</v>
      </c>
      <c r="B118" s="92"/>
      <c r="C118" s="92" t="s">
        <v>479</v>
      </c>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row>
    <row r="119" spans="1:34" ht="12.75">
      <c r="A119" s="92"/>
      <c r="B119" s="92"/>
      <c r="C119" s="92" t="s">
        <v>909</v>
      </c>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row>
    <row r="120" spans="1:34" ht="12.75">
      <c r="A120" s="92"/>
      <c r="B120" s="92"/>
      <c r="C120" s="92" t="s">
        <v>910</v>
      </c>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row>
    <row r="121" spans="1:34" ht="12.75">
      <c r="A121" s="92"/>
      <c r="B121" s="92"/>
      <c r="C121" s="92" t="s">
        <v>912</v>
      </c>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row>
    <row r="122" spans="1:34" ht="12.75">
      <c r="A122" s="92"/>
      <c r="B122" s="92"/>
      <c r="C122" s="92" t="s">
        <v>913</v>
      </c>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row>
    <row r="123" spans="1:34" ht="12.75">
      <c r="A123" s="92"/>
      <c r="B123" s="92"/>
      <c r="C123" s="92" t="s">
        <v>1411</v>
      </c>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row>
    <row r="124" spans="1:34" ht="12.75">
      <c r="A124" s="150"/>
      <c r="B124" s="135">
        <v>277</v>
      </c>
      <c r="C124" s="94">
        <f>B124/28.349523</f>
        <v>9.770887503116013</v>
      </c>
      <c r="D124" s="94">
        <f>C124/16</f>
        <v>0.6106804689447508</v>
      </c>
      <c r="E124" s="139" t="s">
        <v>2019</v>
      </c>
      <c r="F124" s="134"/>
      <c r="G124" s="92"/>
      <c r="H124" s="139" t="s">
        <v>2020</v>
      </c>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row>
    <row r="125" spans="2:5" ht="12.75">
      <c r="B125" s="9">
        <v>284</v>
      </c>
      <c r="C125" s="2">
        <f>B125/28.349523</f>
        <v>10.017805237851796</v>
      </c>
      <c r="D125" s="2">
        <f>C125/16</f>
        <v>0.6261128273657373</v>
      </c>
      <c r="E125" s="11" t="s">
        <v>421</v>
      </c>
    </row>
    <row r="126" spans="2:7" ht="12.75">
      <c r="B126" s="9">
        <v>175</v>
      </c>
      <c r="C126" s="2">
        <f>B126/28.349523</f>
        <v>6.172943368394593</v>
      </c>
      <c r="D126" s="2">
        <f>C126/16</f>
        <v>0.38580896052466207</v>
      </c>
      <c r="E126" s="11" t="s">
        <v>501</v>
      </c>
      <c r="F126" s="2">
        <f>D125+D126</f>
        <v>1.0119217878903992</v>
      </c>
      <c r="G126" t="s">
        <v>873</v>
      </c>
    </row>
    <row r="127" spans="1:27" ht="12.75">
      <c r="A127" s="92"/>
      <c r="B127" s="92"/>
      <c r="C127" s="92"/>
      <c r="D127" s="92"/>
      <c r="E127" s="126" t="s">
        <v>509</v>
      </c>
      <c r="F127" s="92"/>
      <c r="G127" s="92"/>
      <c r="H127" s="92"/>
      <c r="I127" s="92"/>
      <c r="J127" s="92"/>
      <c r="K127" s="92"/>
      <c r="L127" s="92"/>
      <c r="M127" s="92"/>
      <c r="N127" s="92"/>
      <c r="O127" s="92"/>
      <c r="P127" s="92"/>
      <c r="Q127" s="92"/>
      <c r="R127" s="92"/>
      <c r="S127" s="92"/>
      <c r="T127" s="92"/>
      <c r="U127" s="92"/>
      <c r="V127" s="92"/>
      <c r="W127" s="92"/>
      <c r="X127" s="92"/>
      <c r="Y127" s="92"/>
      <c r="Z127" s="92"/>
      <c r="AA127" s="92"/>
    </row>
    <row r="128" spans="1:34" ht="12.75">
      <c r="A128" s="92"/>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row>
    <row r="129" spans="1:34" ht="12.75">
      <c r="A129" s="92"/>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row>
    <row r="130" spans="8:34" ht="12.75">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row>
    <row r="131" spans="8:34" ht="12.75">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row>
    <row r="132" spans="8:34" ht="12.75">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row>
    <row r="133" spans="8:34" ht="12.75">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row>
    <row r="134" spans="8:34" ht="12.75">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row>
    <row r="135" spans="8:34" ht="12.75">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c r="AG135" s="92"/>
      <c r="AH135" s="92"/>
    </row>
    <row r="136" spans="8:34" ht="12.75">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c r="AG136" s="92"/>
      <c r="AH136" s="92"/>
    </row>
    <row r="137" spans="8:34" ht="12.75">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row>
    <row r="138" spans="8:34" ht="12.75">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c r="AG138" s="92"/>
      <c r="AH138" s="92"/>
    </row>
    <row r="139" spans="8:34" ht="12.75">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row>
    <row r="140" spans="8:34" ht="12.75">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row>
    <row r="141" spans="8:34" ht="12.75">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row>
    <row r="142" spans="8:34" ht="12.75">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row>
    <row r="143" spans="8:34" ht="12.75">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row>
    <row r="144" spans="8:34" ht="12.75">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row>
    <row r="145" spans="8:34" ht="12.75">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c r="AG145" s="92"/>
      <c r="AH145" s="92"/>
    </row>
    <row r="146" spans="8:34" ht="12.75">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row>
    <row r="147" spans="8:34" ht="12.75">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row>
    <row r="148" spans="8:34" ht="12.75">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row>
    <row r="149" spans="8:34" ht="12.75">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row>
    <row r="150" spans="8:34" ht="12.75">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row>
    <row r="151" spans="8:34" ht="12.75">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c r="AG151" s="92"/>
      <c r="AH151" s="92"/>
    </row>
    <row r="152" spans="8:34" ht="12.75">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row>
    <row r="153" spans="8:34" ht="12.75">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c r="AG153" s="92"/>
      <c r="AH153" s="92"/>
    </row>
    <row r="154" spans="8:34" ht="12.75">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c r="AG154" s="92"/>
      <c r="AH154" s="92"/>
    </row>
    <row r="155" spans="8:34" ht="12.75">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row>
    <row r="156" spans="8:34" ht="12.75">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c r="AG156" s="92"/>
      <c r="AH156" s="92"/>
    </row>
    <row r="157" spans="8:34" ht="12.75">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c r="AG157" s="92"/>
      <c r="AH157" s="92"/>
    </row>
    <row r="158" spans="8:34" ht="12.75">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c r="AG158" s="92"/>
      <c r="AH158" s="92"/>
    </row>
    <row r="159" spans="8:34" ht="12.75">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row>
    <row r="160" spans="8:34" ht="12.75">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c r="AG160" s="92"/>
      <c r="AH160" s="92"/>
    </row>
    <row r="161" spans="8:34" ht="12.75">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row>
    <row r="162" spans="8:34" ht="12.75">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c r="AG162" s="92"/>
      <c r="AH162" s="92"/>
    </row>
    <row r="163" spans="8:34" ht="12.75">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c r="AG163" s="92"/>
      <c r="AH163" s="92"/>
    </row>
    <row r="164" spans="8:34" ht="12.75">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row>
    <row r="165" spans="8:34" ht="12.75">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c r="AG165" s="92"/>
      <c r="AH165" s="92"/>
    </row>
    <row r="166" spans="8:34" ht="12.75">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row>
    <row r="167" spans="8:34" ht="12.75">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row>
    <row r="168" spans="8:34" ht="12.75">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row>
    <row r="169" spans="8:34" ht="12.75">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row>
    <row r="170" spans="8:34" ht="12.75">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row>
    <row r="171" spans="8:34" ht="12.75">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row>
    <row r="172" spans="8:34" ht="12.75">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c r="AG172" s="92"/>
      <c r="AH172" s="92"/>
    </row>
    <row r="173" spans="8:34" ht="12.75">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row>
    <row r="174" spans="8:34" ht="12.75">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row>
    <row r="175" spans="8:34" ht="12.75">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row>
    <row r="176" spans="8:34" ht="12.75">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row>
    <row r="177" spans="8:34" ht="12.75">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row>
    <row r="178" spans="8:34" ht="12.75">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c r="AG178" s="92"/>
      <c r="AH178" s="92"/>
    </row>
    <row r="179" spans="8:34" ht="12.75">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c r="AG179" s="92"/>
      <c r="AH179" s="92"/>
    </row>
    <row r="180" spans="8:34" ht="12.75">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row>
    <row r="181" spans="8:34" ht="12.75">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row>
    <row r="182" spans="8:34" ht="12.75">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row>
    <row r="183" spans="8:34" ht="12.75">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c r="AG183" s="92"/>
      <c r="AH183" s="92"/>
    </row>
    <row r="184" spans="8:34" ht="12.75">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row>
    <row r="185" spans="8:34" ht="12.75">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row>
    <row r="186" spans="8:34" ht="12.75">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c r="AG186" s="92"/>
      <c r="AH186" s="92"/>
    </row>
    <row r="187" spans="8:34" ht="12.75">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row>
    <row r="188" spans="8:34" ht="12.75">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row>
    <row r="189" spans="8:34" ht="12.75">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row>
    <row r="190" spans="8:34" ht="12.75">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row>
    <row r="191" spans="8:34" ht="12.75">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row>
    <row r="192" spans="8:34" ht="12.75">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row>
  </sheetData>
  <mergeCells count="1">
    <mergeCell ref="A22:A24"/>
  </mergeCells>
  <printOptions/>
  <pageMargins left="0.75" right="0.75" top="0.24" bottom="0.24" header="0.15" footer="0.2"/>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Langenbacher</dc:creator>
  <cp:keywords/>
  <dc:description/>
  <cp:lastModifiedBy>Harry</cp:lastModifiedBy>
  <cp:lastPrinted>2006-07-27T16:31:49Z</cp:lastPrinted>
  <dcterms:created xsi:type="dcterms:W3CDTF">2002-04-16T03:56:15Z</dcterms:created>
  <dcterms:modified xsi:type="dcterms:W3CDTF">2006-07-27T16:32:03Z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